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arlaf\Downloads\"/>
    </mc:Choice>
  </mc:AlternateContent>
  <bookViews>
    <workbookView xWindow="0" yWindow="0" windowWidth="20490" windowHeight="7155" activeTab="1"/>
  </bookViews>
  <sheets>
    <sheet name="Resumen EERR V1" sheetId="2" r:id="rId1"/>
    <sheet name="cálculos" sheetId="1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J102" i="1"/>
  <c r="E28" i="2"/>
  <c r="K102" i="1"/>
  <c r="D3" i="2"/>
  <c r="E3" i="2"/>
  <c r="F3" i="2"/>
  <c r="G3" i="2"/>
  <c r="H3" i="2"/>
  <c r="I3" i="2"/>
  <c r="D4" i="2"/>
  <c r="E4" i="2"/>
  <c r="F4" i="2"/>
  <c r="G4" i="2"/>
  <c r="H4" i="2"/>
  <c r="I4" i="2"/>
  <c r="D5" i="2"/>
  <c r="E5" i="2"/>
  <c r="F5" i="2"/>
  <c r="G5" i="2"/>
  <c r="H5" i="2"/>
  <c r="I5" i="2"/>
  <c r="D7" i="2"/>
  <c r="E7" i="2"/>
  <c r="F7" i="2"/>
  <c r="G7" i="2"/>
  <c r="H7" i="2"/>
  <c r="I7" i="2"/>
  <c r="D8" i="2"/>
  <c r="E8" i="2"/>
  <c r="F8" i="2"/>
  <c r="G8" i="2"/>
  <c r="H8" i="2"/>
  <c r="I8" i="2"/>
  <c r="D10" i="2"/>
  <c r="E10" i="2"/>
  <c r="F10" i="2"/>
  <c r="G10" i="2"/>
  <c r="H10" i="2"/>
  <c r="I10" i="2"/>
  <c r="D11" i="2"/>
  <c r="E11" i="2"/>
  <c r="D12" i="2"/>
  <c r="E12" i="2"/>
  <c r="F12" i="2"/>
  <c r="G12" i="2"/>
  <c r="H12" i="2"/>
  <c r="I12" i="2"/>
  <c r="D15" i="2"/>
  <c r="E15" i="2"/>
  <c r="F15" i="2"/>
  <c r="G15" i="2"/>
  <c r="H15" i="2"/>
  <c r="I15" i="2"/>
  <c r="D19" i="2"/>
  <c r="E19" i="2"/>
  <c r="F19" i="2"/>
  <c r="G19" i="2"/>
  <c r="H19" i="2"/>
  <c r="I19" i="2"/>
  <c r="D22" i="2"/>
  <c r="E22" i="2"/>
  <c r="F22" i="2"/>
  <c r="G22" i="2"/>
  <c r="H22" i="2"/>
  <c r="I22" i="2"/>
  <c r="D23" i="2"/>
  <c r="E23" i="2"/>
  <c r="F23" i="2"/>
  <c r="G23" i="2"/>
  <c r="H23" i="2"/>
  <c r="I23" i="2"/>
  <c r="D24" i="2"/>
  <c r="E24" i="2"/>
  <c r="F24" i="2"/>
  <c r="G24" i="2"/>
  <c r="H24" i="2"/>
  <c r="I24" i="2"/>
  <c r="D27" i="2"/>
  <c r="E27" i="2"/>
  <c r="F27" i="2"/>
  <c r="G27" i="2"/>
  <c r="H27" i="2"/>
  <c r="I27" i="2"/>
  <c r="D29" i="2"/>
  <c r="G29" i="2"/>
  <c r="D31" i="2"/>
  <c r="E31" i="2"/>
  <c r="F31" i="2"/>
  <c r="G31" i="2"/>
  <c r="H31" i="2"/>
  <c r="I31" i="2"/>
  <c r="D34" i="2"/>
  <c r="E34" i="2"/>
  <c r="F34" i="2"/>
  <c r="G34" i="2"/>
  <c r="H34" i="2"/>
  <c r="I34" i="2"/>
  <c r="D35" i="2"/>
  <c r="E35" i="2"/>
  <c r="F35" i="2"/>
  <c r="G35" i="2"/>
  <c r="H35" i="2"/>
  <c r="I35" i="2"/>
  <c r="D36" i="2"/>
  <c r="E36" i="2"/>
  <c r="F36" i="2"/>
  <c r="G36" i="2"/>
  <c r="H36" i="2"/>
  <c r="I36" i="2"/>
  <c r="N103" i="1"/>
  <c r="H29" i="2"/>
  <c r="O103" i="1"/>
  <c r="I29" i="2"/>
  <c r="J103" i="1"/>
  <c r="K103" i="1"/>
  <c r="E29" i="2"/>
  <c r="L103" i="1"/>
  <c r="F29" i="2"/>
  <c r="M103" i="1"/>
  <c r="F28" i="2"/>
  <c r="L102" i="1"/>
  <c r="G28" i="2"/>
  <c r="M102" i="1"/>
  <c r="H28" i="2"/>
  <c r="M58" i="1"/>
  <c r="O64" i="1"/>
  <c r="O63" i="1"/>
  <c r="O62" i="1"/>
  <c r="O61" i="1"/>
  <c r="O60" i="1"/>
  <c r="O59" i="1"/>
  <c r="O58" i="1"/>
  <c r="O57" i="1"/>
  <c r="O56" i="1"/>
  <c r="O55" i="1"/>
  <c r="O50" i="1"/>
  <c r="O49" i="1"/>
  <c r="O48" i="1"/>
  <c r="O47" i="1"/>
  <c r="O46" i="1"/>
  <c r="O45" i="1"/>
  <c r="O44" i="1"/>
  <c r="O43" i="1"/>
  <c r="O42" i="1"/>
  <c r="O41" i="1"/>
  <c r="O40" i="1"/>
  <c r="O38" i="1"/>
  <c r="O37" i="1"/>
  <c r="O36" i="1"/>
  <c r="O35" i="1"/>
  <c r="O34" i="1"/>
  <c r="O33" i="1"/>
  <c r="O32" i="1"/>
  <c r="O31" i="1"/>
  <c r="O30" i="1"/>
  <c r="O29" i="1"/>
  <c r="O24" i="1"/>
  <c r="O23" i="1"/>
  <c r="O22" i="1"/>
  <c r="O21" i="1"/>
  <c r="O18" i="1"/>
  <c r="O17" i="1"/>
  <c r="O16" i="1"/>
  <c r="O15" i="1"/>
  <c r="O14" i="1"/>
  <c r="O13" i="1"/>
  <c r="O12" i="1"/>
  <c r="O11" i="1"/>
  <c r="O10" i="1"/>
  <c r="O9" i="1"/>
  <c r="O8" i="1"/>
  <c r="O7" i="1"/>
  <c r="O4" i="1"/>
  <c r="N64" i="1"/>
  <c r="N63" i="1"/>
  <c r="N62" i="1"/>
  <c r="N61" i="1"/>
  <c r="N60" i="1"/>
  <c r="N59" i="1"/>
  <c r="N58" i="1"/>
  <c r="N57" i="1"/>
  <c r="N56" i="1"/>
  <c r="N55" i="1"/>
  <c r="N50" i="1"/>
  <c r="N49" i="1"/>
  <c r="N48" i="1"/>
  <c r="N47" i="1"/>
  <c r="N46" i="1"/>
  <c r="N45" i="1"/>
  <c r="N44" i="1"/>
  <c r="N43" i="1"/>
  <c r="N42" i="1"/>
  <c r="N41" i="1"/>
  <c r="N40" i="1"/>
  <c r="N38" i="1"/>
  <c r="N37" i="1"/>
  <c r="N36" i="1"/>
  <c r="N35" i="1"/>
  <c r="N34" i="1"/>
  <c r="N33" i="1"/>
  <c r="N32" i="1"/>
  <c r="N31" i="1"/>
  <c r="N30" i="1"/>
  <c r="N29" i="1"/>
  <c r="N24" i="1"/>
  <c r="N23" i="1"/>
  <c r="N22" i="1"/>
  <c r="N21" i="1"/>
  <c r="N18" i="1"/>
  <c r="N17" i="1"/>
  <c r="N16" i="1"/>
  <c r="N15" i="1"/>
  <c r="N14" i="1"/>
  <c r="N13" i="1"/>
  <c r="N12" i="1"/>
  <c r="N11" i="1"/>
  <c r="N10" i="1"/>
  <c r="N9" i="1"/>
  <c r="N8" i="1"/>
  <c r="N7" i="1"/>
  <c r="N4" i="1"/>
  <c r="M64" i="1"/>
  <c r="M63" i="1"/>
  <c r="M62" i="1"/>
  <c r="M61" i="1"/>
  <c r="M60" i="1"/>
  <c r="M59" i="1"/>
  <c r="M57" i="1"/>
  <c r="M56" i="1"/>
  <c r="M55" i="1"/>
  <c r="M50" i="1"/>
  <c r="M49" i="1"/>
  <c r="M48" i="1"/>
  <c r="M47" i="1"/>
  <c r="M46" i="1"/>
  <c r="M45" i="1"/>
  <c r="M44" i="1"/>
  <c r="M43" i="1"/>
  <c r="M42" i="1"/>
  <c r="M41" i="1"/>
  <c r="M40" i="1"/>
  <c r="M38" i="1"/>
  <c r="M37" i="1"/>
  <c r="M36" i="1"/>
  <c r="M35" i="1"/>
  <c r="M34" i="1"/>
  <c r="M33" i="1"/>
  <c r="M32" i="1"/>
  <c r="M31" i="1"/>
  <c r="M30" i="1"/>
  <c r="M29" i="1"/>
  <c r="M24" i="1"/>
  <c r="M23" i="1"/>
  <c r="M22" i="1"/>
  <c r="M21" i="1"/>
  <c r="M18" i="1"/>
  <c r="M17" i="1"/>
  <c r="M16" i="1"/>
  <c r="M15" i="1"/>
  <c r="M14" i="1"/>
  <c r="M13" i="1"/>
  <c r="M12" i="1"/>
  <c r="M11" i="1"/>
  <c r="M10" i="1"/>
  <c r="M9" i="1"/>
  <c r="M8" i="1"/>
  <c r="M7" i="1"/>
  <c r="M4" i="1"/>
  <c r="L64" i="1"/>
  <c r="L63" i="1"/>
  <c r="L62" i="1"/>
  <c r="L61" i="1"/>
  <c r="L60" i="1"/>
  <c r="L59" i="1"/>
  <c r="L58" i="1"/>
  <c r="L57" i="1"/>
  <c r="L56" i="1"/>
  <c r="L55" i="1"/>
  <c r="L50" i="1"/>
  <c r="L49" i="1"/>
  <c r="L48" i="1"/>
  <c r="L47" i="1"/>
  <c r="L46" i="1"/>
  <c r="L45" i="1"/>
  <c r="L44" i="1"/>
  <c r="L43" i="1"/>
  <c r="L42" i="1"/>
  <c r="L41" i="1"/>
  <c r="L40" i="1"/>
  <c r="L38" i="1"/>
  <c r="L37" i="1"/>
  <c r="L36" i="1"/>
  <c r="L35" i="1"/>
  <c r="L34" i="1"/>
  <c r="L33" i="1"/>
  <c r="L32" i="1"/>
  <c r="L31" i="1"/>
  <c r="L30" i="1"/>
  <c r="L29" i="1"/>
  <c r="L24" i="1"/>
  <c r="L23" i="1"/>
  <c r="L22" i="1"/>
  <c r="L21" i="1"/>
  <c r="L18" i="1"/>
  <c r="L17" i="1"/>
  <c r="L16" i="1"/>
  <c r="L15" i="1"/>
  <c r="L14" i="1"/>
  <c r="L13" i="1"/>
  <c r="L12" i="1"/>
  <c r="L11" i="1"/>
  <c r="L10" i="1"/>
  <c r="L9" i="1"/>
  <c r="L8" i="1"/>
  <c r="L7" i="1"/>
  <c r="L4" i="1"/>
  <c r="K4" i="1"/>
  <c r="K56" i="1"/>
  <c r="K57" i="1"/>
  <c r="K58" i="1"/>
  <c r="K59" i="1"/>
  <c r="K60" i="1"/>
  <c r="K61" i="1"/>
  <c r="K62" i="1"/>
  <c r="K63" i="1"/>
  <c r="K64" i="1"/>
  <c r="K55" i="1"/>
  <c r="K41" i="1"/>
  <c r="K42" i="1"/>
  <c r="K43" i="1"/>
  <c r="K44" i="1"/>
  <c r="K45" i="1"/>
  <c r="K46" i="1"/>
  <c r="K47" i="1"/>
  <c r="K48" i="1"/>
  <c r="K49" i="1"/>
  <c r="K50" i="1"/>
  <c r="K40" i="1"/>
  <c r="K30" i="1"/>
  <c r="K31" i="1"/>
  <c r="K32" i="1"/>
  <c r="K33" i="1"/>
  <c r="K34" i="1"/>
  <c r="K35" i="1"/>
  <c r="K36" i="1"/>
  <c r="K37" i="1"/>
  <c r="K38" i="1"/>
  <c r="K29" i="1"/>
  <c r="K22" i="1"/>
  <c r="K23" i="1"/>
  <c r="K24" i="1"/>
  <c r="K21" i="1"/>
  <c r="K8" i="1"/>
  <c r="K9" i="1"/>
  <c r="K10" i="1"/>
  <c r="K11" i="1"/>
  <c r="K12" i="1"/>
  <c r="K13" i="1"/>
  <c r="K14" i="1"/>
  <c r="K15" i="1"/>
  <c r="K16" i="1"/>
  <c r="K17" i="1"/>
  <c r="K18" i="1"/>
  <c r="K7" i="1"/>
  <c r="J7" i="1"/>
  <c r="J94" i="1"/>
  <c r="O84" i="1"/>
  <c r="I11" i="2"/>
  <c r="N84" i="1"/>
  <c r="H11" i="2"/>
  <c r="M84" i="1"/>
  <c r="G11" i="2"/>
  <c r="L84" i="1"/>
  <c r="F11" i="2"/>
  <c r="J107" i="1"/>
  <c r="D33" i="2"/>
  <c r="D21" i="2"/>
  <c r="N102" i="1"/>
  <c r="I28" i="2"/>
  <c r="O102" i="1"/>
  <c r="K94" i="1"/>
  <c r="E21" i="2"/>
  <c r="K107" i="1"/>
  <c r="E33" i="2"/>
  <c r="L94" i="1"/>
  <c r="F21" i="2"/>
  <c r="L107" i="1"/>
  <c r="F33" i="2"/>
  <c r="M94" i="1"/>
  <c r="G21" i="2"/>
  <c r="M107" i="1"/>
  <c r="G33" i="2"/>
  <c r="N94" i="1"/>
  <c r="H21" i="2"/>
  <c r="N107" i="1"/>
  <c r="H33" i="2"/>
  <c r="O94" i="1"/>
  <c r="O107" i="1"/>
  <c r="I33" i="2"/>
  <c r="I21" i="2"/>
  <c r="S7" i="1"/>
  <c r="S4" i="1"/>
  <c r="O79" i="1"/>
  <c r="I6" i="2"/>
  <c r="N79" i="1"/>
  <c r="H6" i="2"/>
  <c r="M79" i="1"/>
  <c r="G6" i="2"/>
  <c r="L79" i="1"/>
  <c r="F6" i="2"/>
  <c r="K79" i="1"/>
  <c r="E6" i="2"/>
  <c r="J79" i="1"/>
  <c r="D6" i="2"/>
  <c r="O82" i="1"/>
  <c r="I9" i="2"/>
  <c r="N82" i="1"/>
  <c r="H9" i="2"/>
  <c r="M82" i="1"/>
  <c r="G9" i="2"/>
  <c r="L82" i="1"/>
  <c r="F9" i="2"/>
  <c r="K82" i="1"/>
  <c r="E9" i="2"/>
  <c r="J82" i="1"/>
  <c r="D9" i="2"/>
  <c r="O91" i="1"/>
  <c r="I18" i="2"/>
  <c r="N91" i="1"/>
  <c r="H18" i="2"/>
  <c r="M91" i="1"/>
  <c r="G18" i="2"/>
  <c r="L91" i="1"/>
  <c r="F18" i="2"/>
  <c r="K91" i="1"/>
  <c r="E18" i="2"/>
  <c r="J91" i="1"/>
  <c r="D18" i="2"/>
  <c r="O106" i="1"/>
  <c r="N106" i="1"/>
  <c r="M106" i="1"/>
  <c r="L106" i="1"/>
  <c r="K106" i="1"/>
  <c r="J106" i="1"/>
  <c r="O104" i="1"/>
  <c r="I30" i="2"/>
  <c r="N104" i="1"/>
  <c r="H30" i="2"/>
  <c r="M104" i="1"/>
  <c r="G30" i="2"/>
  <c r="L104" i="1"/>
  <c r="F30" i="2"/>
  <c r="K104" i="1"/>
  <c r="E30" i="2"/>
  <c r="J104" i="1"/>
  <c r="D30" i="2"/>
  <c r="O111" i="1"/>
  <c r="I37" i="2"/>
  <c r="N111" i="1"/>
  <c r="H37" i="2"/>
  <c r="M111" i="1"/>
  <c r="G37" i="2"/>
  <c r="L111" i="1"/>
  <c r="F37" i="2"/>
  <c r="K111" i="1"/>
  <c r="E37" i="2"/>
  <c r="J111" i="1"/>
  <c r="D37" i="2"/>
  <c r="L90" i="1"/>
  <c r="F17" i="2"/>
  <c r="J90" i="1"/>
  <c r="D17" i="2"/>
  <c r="T74" i="1"/>
  <c r="H65" i="1"/>
  <c r="S64" i="1"/>
  <c r="X64" i="1"/>
  <c r="Y64" i="1"/>
  <c r="W64" i="1"/>
  <c r="J64" i="1"/>
  <c r="U64" i="1"/>
  <c r="S63" i="1"/>
  <c r="W63" i="1"/>
  <c r="Y63" i="1"/>
  <c r="V63" i="1"/>
  <c r="J63" i="1"/>
  <c r="U63" i="1"/>
  <c r="S62" i="1"/>
  <c r="X62" i="1"/>
  <c r="Y62" i="1"/>
  <c r="W62" i="1"/>
  <c r="J62" i="1"/>
  <c r="U62" i="1"/>
  <c r="S61" i="1"/>
  <c r="Y61" i="1"/>
  <c r="Z61" i="1"/>
  <c r="X61" i="1"/>
  <c r="W61" i="1"/>
  <c r="V61" i="1"/>
  <c r="J61" i="1"/>
  <c r="S60" i="1"/>
  <c r="Z60" i="1"/>
  <c r="J60" i="1"/>
  <c r="U60" i="1"/>
  <c r="S59" i="1"/>
  <c r="Y59" i="1"/>
  <c r="Z59" i="1"/>
  <c r="X59" i="1"/>
  <c r="W59" i="1"/>
  <c r="J59" i="1"/>
  <c r="U59" i="1"/>
  <c r="S58" i="1"/>
  <c r="X58" i="1"/>
  <c r="Z58" i="1"/>
  <c r="Y58" i="1"/>
  <c r="W58" i="1"/>
  <c r="V58" i="1"/>
  <c r="J58" i="1"/>
  <c r="U58" i="1"/>
  <c r="S57" i="1"/>
  <c r="Y57" i="1"/>
  <c r="Z57" i="1"/>
  <c r="X57" i="1"/>
  <c r="W57" i="1"/>
  <c r="V57" i="1"/>
  <c r="J57" i="1"/>
  <c r="S56" i="1"/>
  <c r="Z56" i="1"/>
  <c r="W56" i="1"/>
  <c r="J56" i="1"/>
  <c r="S55" i="1"/>
  <c r="Y55" i="1"/>
  <c r="W55" i="1"/>
  <c r="V55" i="1"/>
  <c r="J55" i="1"/>
  <c r="U55" i="1"/>
  <c r="H51" i="1"/>
  <c r="S50" i="1"/>
  <c r="Y50" i="1"/>
  <c r="Z50" i="1"/>
  <c r="X50" i="1"/>
  <c r="W50" i="1"/>
  <c r="V50" i="1"/>
  <c r="J50" i="1"/>
  <c r="S49" i="1"/>
  <c r="Z49" i="1"/>
  <c r="W49" i="1"/>
  <c r="J49" i="1"/>
  <c r="S48" i="1"/>
  <c r="Y48" i="1"/>
  <c r="W48" i="1"/>
  <c r="V48" i="1"/>
  <c r="J48" i="1"/>
  <c r="U48" i="1"/>
  <c r="S47" i="1"/>
  <c r="Z47" i="1"/>
  <c r="W47" i="1"/>
  <c r="J47" i="1"/>
  <c r="S46" i="1"/>
  <c r="Z46" i="1"/>
  <c r="Y46" i="1"/>
  <c r="X46" i="1"/>
  <c r="W46" i="1"/>
  <c r="V46" i="1"/>
  <c r="J46" i="1"/>
  <c r="U46" i="1"/>
  <c r="S45" i="1"/>
  <c r="V45" i="1"/>
  <c r="X45" i="1"/>
  <c r="J45" i="1"/>
  <c r="U45" i="1"/>
  <c r="S44" i="1"/>
  <c r="Z44" i="1"/>
  <c r="Y44" i="1"/>
  <c r="X44" i="1"/>
  <c r="W44" i="1"/>
  <c r="J44" i="1"/>
  <c r="U44" i="1"/>
  <c r="S43" i="1"/>
  <c r="Y43" i="1"/>
  <c r="Z43" i="1"/>
  <c r="X43" i="1"/>
  <c r="W43" i="1"/>
  <c r="V43" i="1"/>
  <c r="J43" i="1"/>
  <c r="S42" i="1"/>
  <c r="Z42" i="1"/>
  <c r="W42" i="1"/>
  <c r="J42" i="1"/>
  <c r="S41" i="1"/>
  <c r="Z41" i="1"/>
  <c r="Y41" i="1"/>
  <c r="X41" i="1"/>
  <c r="W41" i="1"/>
  <c r="V41" i="1"/>
  <c r="J41" i="1"/>
  <c r="S40" i="1"/>
  <c r="V40" i="1"/>
  <c r="W40" i="1"/>
  <c r="J40" i="1"/>
  <c r="U40" i="1"/>
  <c r="H39" i="1"/>
  <c r="S38" i="1"/>
  <c r="Z38" i="1"/>
  <c r="W38" i="1"/>
  <c r="J38" i="1"/>
  <c r="S37" i="1"/>
  <c r="Z37" i="1"/>
  <c r="Y37" i="1"/>
  <c r="X37" i="1"/>
  <c r="W37" i="1"/>
  <c r="V37" i="1"/>
  <c r="J37" i="1"/>
  <c r="S36" i="1"/>
  <c r="W36" i="1"/>
  <c r="V36" i="1"/>
  <c r="J36" i="1"/>
  <c r="S35" i="1"/>
  <c r="X35" i="1"/>
  <c r="Y35" i="1"/>
  <c r="W35" i="1"/>
  <c r="J35" i="1"/>
  <c r="U35" i="1"/>
  <c r="S34" i="1"/>
  <c r="Y34" i="1"/>
  <c r="Z34" i="1"/>
  <c r="X34" i="1"/>
  <c r="W34" i="1"/>
  <c r="V34" i="1"/>
  <c r="J34" i="1"/>
  <c r="S33" i="1"/>
  <c r="Z33" i="1"/>
  <c r="J33" i="1"/>
  <c r="S32" i="1"/>
  <c r="Z32" i="1"/>
  <c r="W32" i="1"/>
  <c r="J32" i="1"/>
  <c r="S31" i="1"/>
  <c r="X31" i="1"/>
  <c r="Y31" i="1"/>
  <c r="W31" i="1"/>
  <c r="J31" i="1"/>
  <c r="U31" i="1"/>
  <c r="S30" i="1"/>
  <c r="Y30" i="1"/>
  <c r="Z30" i="1"/>
  <c r="X30" i="1"/>
  <c r="W30" i="1"/>
  <c r="V30" i="1"/>
  <c r="J30" i="1"/>
  <c r="S29" i="1"/>
  <c r="Z29" i="1"/>
  <c r="V29" i="1"/>
  <c r="J29" i="1"/>
  <c r="H25" i="1"/>
  <c r="S24" i="1"/>
  <c r="Z24" i="1"/>
  <c r="Y24" i="1"/>
  <c r="X24" i="1"/>
  <c r="W24" i="1"/>
  <c r="V24" i="1"/>
  <c r="J24" i="1"/>
  <c r="U24" i="1"/>
  <c r="S23" i="1"/>
  <c r="X23" i="1"/>
  <c r="Y23" i="1"/>
  <c r="W23" i="1"/>
  <c r="J23" i="1"/>
  <c r="U23" i="1"/>
  <c r="S22" i="1"/>
  <c r="Y22" i="1"/>
  <c r="Z22" i="1"/>
  <c r="X22" i="1"/>
  <c r="W22" i="1"/>
  <c r="V22" i="1"/>
  <c r="J22" i="1"/>
  <c r="S21" i="1"/>
  <c r="Z21" i="1"/>
  <c r="V21" i="1"/>
  <c r="J21" i="1"/>
  <c r="H19" i="1"/>
  <c r="S18" i="1"/>
  <c r="Z18" i="1"/>
  <c r="Y18" i="1"/>
  <c r="X18" i="1"/>
  <c r="W18" i="1"/>
  <c r="V18" i="1"/>
  <c r="J18" i="1"/>
  <c r="U18" i="1"/>
  <c r="S17" i="1"/>
  <c r="X17" i="1"/>
  <c r="W17" i="1"/>
  <c r="J17" i="1"/>
  <c r="S16" i="1"/>
  <c r="W16" i="1"/>
  <c r="Z16" i="1"/>
  <c r="V16" i="1"/>
  <c r="J16" i="1"/>
  <c r="U16" i="1"/>
  <c r="S15" i="1"/>
  <c r="X15" i="1"/>
  <c r="W15" i="1"/>
  <c r="J15" i="1"/>
  <c r="S14" i="1"/>
  <c r="Y14" i="1"/>
  <c r="Z14" i="1"/>
  <c r="X14" i="1"/>
  <c r="W14" i="1"/>
  <c r="V14" i="1"/>
  <c r="J14" i="1"/>
  <c r="S13" i="1"/>
  <c r="Z13" i="1"/>
  <c r="Y13" i="1"/>
  <c r="J13" i="1"/>
  <c r="U13" i="1"/>
  <c r="S12" i="1"/>
  <c r="Y12" i="1"/>
  <c r="Z12" i="1"/>
  <c r="X12" i="1"/>
  <c r="W12" i="1"/>
  <c r="V12" i="1"/>
  <c r="J12" i="1"/>
  <c r="S11" i="1"/>
  <c r="X11" i="1"/>
  <c r="Z11" i="1"/>
  <c r="Y11" i="1"/>
  <c r="W11" i="1"/>
  <c r="V11" i="1"/>
  <c r="J11" i="1"/>
  <c r="U11" i="1"/>
  <c r="S10" i="1"/>
  <c r="Z10" i="1"/>
  <c r="Y10" i="1"/>
  <c r="X10" i="1"/>
  <c r="W10" i="1"/>
  <c r="V10" i="1"/>
  <c r="J10" i="1"/>
  <c r="U10" i="1"/>
  <c r="S9" i="1"/>
  <c r="Y9" i="1"/>
  <c r="J9" i="1"/>
  <c r="S8" i="1"/>
  <c r="S74" i="1"/>
  <c r="Z8" i="1"/>
  <c r="J8" i="1"/>
  <c r="U8" i="1"/>
  <c r="Z7" i="1"/>
  <c r="Y7" i="1"/>
  <c r="X7" i="1"/>
  <c r="W7" i="1"/>
  <c r="V7" i="1"/>
  <c r="U7" i="1"/>
  <c r="H5" i="1"/>
  <c r="Z4" i="1"/>
  <c r="Y4" i="1"/>
  <c r="X4" i="1"/>
  <c r="W4" i="1"/>
  <c r="V4" i="1"/>
  <c r="J4" i="1"/>
  <c r="U4" i="1"/>
  <c r="V8" i="1"/>
  <c r="U9" i="1"/>
  <c r="U15" i="1"/>
  <c r="Y15" i="1"/>
  <c r="Y17" i="1"/>
  <c r="W8" i="1"/>
  <c r="V9" i="1"/>
  <c r="Z9" i="1"/>
  <c r="V13" i="1"/>
  <c r="U14" i="1"/>
  <c r="V15" i="1"/>
  <c r="Z15" i="1"/>
  <c r="V17" i="1"/>
  <c r="Z17" i="1"/>
  <c r="W21" i="1"/>
  <c r="U22" i="1"/>
  <c r="V23" i="1"/>
  <c r="Z23" i="1"/>
  <c r="W29" i="1"/>
  <c r="U30" i="1"/>
  <c r="V31" i="1"/>
  <c r="Z31" i="1"/>
  <c r="X32" i="1"/>
  <c r="U33" i="1"/>
  <c r="U34" i="1"/>
  <c r="V35" i="1"/>
  <c r="Z35" i="1"/>
  <c r="X38" i="1"/>
  <c r="Y40" i="1"/>
  <c r="X42" i="1"/>
  <c r="U43" i="1"/>
  <c r="Z45" i="1"/>
  <c r="X47" i="1"/>
  <c r="X49" i="1"/>
  <c r="U50" i="1"/>
  <c r="X56" i="1"/>
  <c r="U57" i="1"/>
  <c r="V60" i="1"/>
  <c r="U61" i="1"/>
  <c r="V62" i="1"/>
  <c r="Z62" i="1"/>
  <c r="V64" i="1"/>
  <c r="Z64" i="1"/>
  <c r="L93" i="1"/>
  <c r="F20" i="2"/>
  <c r="F32" i="2"/>
  <c r="W9" i="1"/>
  <c r="X21" i="1"/>
  <c r="X29" i="1"/>
  <c r="Y32" i="1"/>
  <c r="V33" i="1"/>
  <c r="U38" i="1"/>
  <c r="Y38" i="1"/>
  <c r="U42" i="1"/>
  <c r="Y42" i="1"/>
  <c r="U47" i="1"/>
  <c r="Y47" i="1"/>
  <c r="U49" i="1"/>
  <c r="Y49" i="1"/>
  <c r="U56" i="1"/>
  <c r="Y56" i="1"/>
  <c r="X60" i="1"/>
  <c r="M93" i="1"/>
  <c r="G20" i="2"/>
  <c r="G32" i="2"/>
  <c r="X9" i="1"/>
  <c r="U21" i="1"/>
  <c r="U36" i="1"/>
  <c r="V38" i="1"/>
  <c r="V42" i="1"/>
  <c r="V47" i="1"/>
  <c r="V49" i="1"/>
  <c r="V56" i="1"/>
  <c r="J93" i="1"/>
  <c r="D20" i="2"/>
  <c r="D32" i="2"/>
  <c r="N93" i="1"/>
  <c r="H20" i="2"/>
  <c r="H32" i="2"/>
  <c r="U17" i="1"/>
  <c r="K93" i="1"/>
  <c r="E20" i="2"/>
  <c r="E32" i="2"/>
  <c r="O93" i="1"/>
  <c r="I20" i="2"/>
  <c r="I32" i="2"/>
  <c r="Y8" i="1"/>
  <c r="U12" i="1"/>
  <c r="X13" i="1"/>
  <c r="X16" i="1"/>
  <c r="Y21" i="1"/>
  <c r="U29" i="1"/>
  <c r="V32" i="1"/>
  <c r="Y33" i="1"/>
  <c r="Z36" i="1"/>
  <c r="U37" i="1"/>
  <c r="Z40" i="1"/>
  <c r="U41" i="1"/>
  <c r="V44" i="1"/>
  <c r="Y45" i="1"/>
  <c r="Z48" i="1"/>
  <c r="Z55" i="1"/>
  <c r="V59" i="1"/>
  <c r="Y60" i="1"/>
  <c r="Z63" i="1"/>
  <c r="K90" i="1"/>
  <c r="E17" i="2"/>
  <c r="M90" i="1"/>
  <c r="G17" i="2"/>
  <c r="V74" i="1"/>
  <c r="K74" i="1"/>
  <c r="K89" i="1"/>
  <c r="Z74" i="1"/>
  <c r="O74" i="1"/>
  <c r="Y29" i="1"/>
  <c r="W33" i="1"/>
  <c r="X36" i="1"/>
  <c r="X40" i="1"/>
  <c r="W45" i="1"/>
  <c r="X48" i="1"/>
  <c r="X55" i="1"/>
  <c r="W60" i="1"/>
  <c r="X63" i="1"/>
  <c r="Y16" i="1"/>
  <c r="U32" i="1"/>
  <c r="X33" i="1"/>
  <c r="Y36" i="1"/>
  <c r="X8" i="1"/>
  <c r="W13" i="1"/>
  <c r="K98" i="1"/>
  <c r="E25" i="2"/>
  <c r="E16" i="2"/>
  <c r="X74" i="1"/>
  <c r="M74" i="1"/>
  <c r="M86" i="1"/>
  <c r="G13" i="2"/>
  <c r="Y74" i="1"/>
  <c r="N74" i="1"/>
  <c r="U74" i="1"/>
  <c r="J74" i="1"/>
  <c r="W74" i="1"/>
  <c r="L74" i="1"/>
  <c r="O89" i="1"/>
  <c r="I16" i="2"/>
  <c r="O90" i="1"/>
  <c r="I17" i="2"/>
  <c r="N90" i="1"/>
  <c r="H17" i="2"/>
  <c r="K86" i="1"/>
  <c r="E13" i="2"/>
  <c r="M89" i="1"/>
  <c r="J86" i="1"/>
  <c r="D13" i="2"/>
  <c r="J89" i="1"/>
  <c r="O98" i="1"/>
  <c r="I25" i="2"/>
  <c r="O86" i="1"/>
  <c r="I13" i="2"/>
  <c r="L86" i="1"/>
  <c r="F13" i="2"/>
  <c r="L89" i="1"/>
  <c r="N86" i="1"/>
  <c r="H13" i="2"/>
  <c r="N89" i="1"/>
  <c r="L98" i="1"/>
  <c r="F25" i="2"/>
  <c r="F16" i="2"/>
  <c r="J98" i="1"/>
  <c r="D25" i="2"/>
  <c r="D16" i="2"/>
  <c r="N98" i="1"/>
  <c r="H25" i="2"/>
  <c r="H16" i="2"/>
  <c r="M98" i="1"/>
  <c r="G25" i="2"/>
  <c r="G16" i="2"/>
</calcChain>
</file>

<file path=xl/sharedStrings.xml><?xml version="1.0" encoding="utf-8"?>
<sst xmlns="http://schemas.openxmlformats.org/spreadsheetml/2006/main" count="275" uniqueCount="160">
  <si>
    <t>Renovar 1</t>
  </si>
  <si>
    <t>Precios ajustados</t>
  </si>
  <si>
    <t>Oferta</t>
  </si>
  <si>
    <t>Oferente</t>
  </si>
  <si>
    <t xml:space="preserve">Nombre </t>
  </si>
  <si>
    <t>Provincia</t>
  </si>
  <si>
    <t>Localidad</t>
  </si>
  <si>
    <t>Precio Ofertado  U$S/MWh</t>
  </si>
  <si>
    <t>Potencia Ofertada MW</t>
  </si>
  <si>
    <t>Potencia asignada MW</t>
  </si>
  <si>
    <t>FU</t>
  </si>
  <si>
    <t>Energía anual</t>
  </si>
  <si>
    <t>BG-06</t>
  </si>
  <si>
    <t>Global Green</t>
  </si>
  <si>
    <t>C.T. Biogás Ricardone</t>
  </si>
  <si>
    <t xml:space="preserve">Santa Fe </t>
  </si>
  <si>
    <t>Ricardone</t>
  </si>
  <si>
    <t>EOL-14</t>
  </si>
  <si>
    <t>Envision Energy 1</t>
  </si>
  <si>
    <t>P.E. Garcia del Rio</t>
  </si>
  <si>
    <t>Buenos Aires</t>
  </si>
  <si>
    <t>Bahia Blanca</t>
  </si>
  <si>
    <t>EOL-17</t>
  </si>
  <si>
    <t>Envision Energy 2</t>
  </si>
  <si>
    <t>P.E. Vientos del Secano</t>
  </si>
  <si>
    <t>Buratovich</t>
  </si>
  <si>
    <t>EOL-06</t>
  </si>
  <si>
    <t>Genneia I</t>
  </si>
  <si>
    <t>P.E. Villalonga</t>
  </si>
  <si>
    <t>Villalonga</t>
  </si>
  <si>
    <t>EOL-16</t>
  </si>
  <si>
    <t>P.E. Los Meandros</t>
  </si>
  <si>
    <t>Neuquén</t>
  </si>
  <si>
    <t>Confluencia</t>
  </si>
  <si>
    <t>EOL-15</t>
  </si>
  <si>
    <t>P.E. cerro Alto</t>
  </si>
  <si>
    <t>Rio Negro</t>
  </si>
  <si>
    <t>Pilcaniyeu</t>
  </si>
  <si>
    <t xml:space="preserve">EOL-44 </t>
  </si>
  <si>
    <t>C.T. Loma de la Lata</t>
  </si>
  <si>
    <t>P.E. Corti</t>
  </si>
  <si>
    <t>EOL-22</t>
  </si>
  <si>
    <t>3 Gal S.A.</t>
  </si>
  <si>
    <t>P.E. Garayalde</t>
  </si>
  <si>
    <t>Chubut</t>
  </si>
  <si>
    <t>Garayalde</t>
  </si>
  <si>
    <t>EOL-35</t>
  </si>
  <si>
    <t>CP Renovables</t>
  </si>
  <si>
    <t>P.E. La Castellana</t>
  </si>
  <si>
    <t>Villarino</t>
  </si>
  <si>
    <t xml:space="preserve">EOL-33 </t>
  </si>
  <si>
    <t>ENAT SA</t>
  </si>
  <si>
    <t>P.E. Kosten</t>
  </si>
  <si>
    <t>Pampa del Castillo</t>
  </si>
  <si>
    <t>EOL-05</t>
  </si>
  <si>
    <t>EREN</t>
  </si>
  <si>
    <t>P.E. Viento Los Hercules</t>
  </si>
  <si>
    <t>Santa Cruz</t>
  </si>
  <si>
    <t>Las Heras</t>
  </si>
  <si>
    <t>EOL-08</t>
  </si>
  <si>
    <t>P.E. Chubut Norte</t>
  </si>
  <si>
    <t>Puerto Madryn</t>
  </si>
  <si>
    <t>Eol-46</t>
  </si>
  <si>
    <t>Arauco SAPEM</t>
  </si>
  <si>
    <t>P.E. Arauco II (Etapa 1 y 2)</t>
  </si>
  <si>
    <t>La Rioja</t>
  </si>
  <si>
    <t>Arauco</t>
  </si>
  <si>
    <t>SFV-38</t>
  </si>
  <si>
    <t>Jemse SE</t>
  </si>
  <si>
    <t>P.S. Cauchari 1</t>
  </si>
  <si>
    <t>Jujuy</t>
  </si>
  <si>
    <t>Cauchari</t>
  </si>
  <si>
    <t>SFV-39</t>
  </si>
  <si>
    <t>P.S. Cauchari 2</t>
  </si>
  <si>
    <t>SFV-40</t>
  </si>
  <si>
    <t>P.S. Cauchari 3</t>
  </si>
  <si>
    <t>SFV-13</t>
  </si>
  <si>
    <t>Fieldfare</t>
  </si>
  <si>
    <t>P.S. La Puna</t>
  </si>
  <si>
    <t>Salta</t>
  </si>
  <si>
    <t>San Antonio de los Cobres</t>
  </si>
  <si>
    <t>Renovar 1.5</t>
  </si>
  <si>
    <t>Eólico</t>
  </si>
  <si>
    <t>Pampa</t>
  </si>
  <si>
    <t>Vientos de Necochea</t>
  </si>
  <si>
    <t>Miramar</t>
  </si>
  <si>
    <t>La Banderita</t>
  </si>
  <si>
    <t>La Pampa</t>
  </si>
  <si>
    <t>Pomona</t>
  </si>
  <si>
    <t>Del Bicentenario</t>
  </si>
  <si>
    <t>Loma Blanca 6</t>
  </si>
  <si>
    <t>El Sosneado</t>
  </si>
  <si>
    <t>Mendoza</t>
  </si>
  <si>
    <t>Arauco II</t>
  </si>
  <si>
    <t>Achiras</t>
  </si>
  <si>
    <t>Cordóba</t>
  </si>
  <si>
    <t>Solar</t>
  </si>
  <si>
    <t>Anchoris</t>
  </si>
  <si>
    <t>General Alvear</t>
  </si>
  <si>
    <t>La Paz</t>
  </si>
  <si>
    <t>Lavalle</t>
  </si>
  <si>
    <t>Lujan de Cuyo</t>
  </si>
  <si>
    <t>PASIP</t>
  </si>
  <si>
    <t>Saujil</t>
  </si>
  <si>
    <t>Catamarca</t>
  </si>
  <si>
    <t>Tinogasta</t>
  </si>
  <si>
    <t>Fiambala</t>
  </si>
  <si>
    <t>Cafayate</t>
  </si>
  <si>
    <t>Nonogasta</t>
  </si>
  <si>
    <t>Res 202/2016</t>
  </si>
  <si>
    <t>CTB Autogenerador Ingenio La Florida</t>
  </si>
  <si>
    <t>Tucumán</t>
  </si>
  <si>
    <t>CSF Cerros del Sol</t>
  </si>
  <si>
    <t>San Luis</t>
  </si>
  <si>
    <t>CSF Solares de la Punta</t>
  </si>
  <si>
    <t>CE Pto. MadrynI</t>
  </si>
  <si>
    <t>CE Pto. MadrynII</t>
  </si>
  <si>
    <t>CE Koluel KaikeII</t>
  </si>
  <si>
    <t>CE MalaspinaI</t>
  </si>
  <si>
    <t>CE Loma Blanca I</t>
  </si>
  <si>
    <t>CE Loma Blanca II</t>
  </si>
  <si>
    <t>CE Loma Blanca III</t>
  </si>
  <si>
    <t>Año calendario</t>
  </si>
  <si>
    <t>Factor de incentivo</t>
  </si>
  <si>
    <t>Valores ponderados por potencia U$S/MWh</t>
  </si>
  <si>
    <t>Adicional potencia *</t>
  </si>
  <si>
    <t xml:space="preserve">Energia adicional </t>
  </si>
  <si>
    <t xml:space="preserve">Cargo de sust y garantía </t>
  </si>
  <si>
    <t>SCMEM **</t>
  </si>
  <si>
    <t>Cargo Foninvemen + FNNE**</t>
  </si>
  <si>
    <t>2038 y posteriores</t>
  </si>
  <si>
    <t>Precio final</t>
  </si>
  <si>
    <t>Año de Producción</t>
  </si>
  <si>
    <t xml:space="preserve"> Factor de Ajuste Anual</t>
  </si>
  <si>
    <t>Contrato entre privados U$S/MWh</t>
  </si>
  <si>
    <t>Poner el valor negociado</t>
  </si>
  <si>
    <t>FODER (ley de EERR distribuidas)</t>
  </si>
  <si>
    <t>Cargo de comercialización</t>
  </si>
  <si>
    <t>Cargo de administración</t>
  </si>
  <si>
    <t>* Se supone creciente</t>
  </si>
  <si>
    <t xml:space="preserve">** Duda </t>
  </si>
  <si>
    <t>Si me quedo en CAMMESA &lt; 20 MW</t>
  </si>
  <si>
    <t>Si me quedo en CAMMESA &gt; 20 MW</t>
  </si>
  <si>
    <t>Compra conjunta</t>
  </si>
  <si>
    <t>*** Rige a partir de enero 2019</t>
  </si>
  <si>
    <t>Cargo de comercialización***</t>
  </si>
  <si>
    <t>Cargo de administración***</t>
  </si>
  <si>
    <t>MWh</t>
  </si>
  <si>
    <t>USD/año</t>
  </si>
  <si>
    <t>Potencia media</t>
  </si>
  <si>
    <t>Si me voy de CAMMESA hasta 2020 por el 100% de la obligación de la Ley</t>
  </si>
  <si>
    <t>Potencia media                                       5</t>
  </si>
  <si>
    <t>Estimación sobre los costos que un GU afrontaría si decide permanecer en compra conjunta o excluirse de este mecanismo. Incluimos renovar 1 y 1.5 como así también la Res 202/2016.</t>
  </si>
  <si>
    <t>Precio final (USD/MWh)</t>
  </si>
  <si>
    <t>Contrato entre privados (U$S/MWh)</t>
  </si>
  <si>
    <t xml:space="preserve">Energía adicional </t>
  </si>
  <si>
    <t>Referencias: * Se supone creciente / ** Duda / *** Rige a partir de enero 2019</t>
  </si>
  <si>
    <t>1) Si me quedo en CAMMESA &lt; 20 MW</t>
  </si>
  <si>
    <t>2) Si me quedo en CAMMESA &gt; 20 MW</t>
  </si>
  <si>
    <t>3) Si me voy de CAMMESA hasta 2020        por el 100% de la obligación de la 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</si>
</sst>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0.0"/>
    <numFmt numFmtId="165" formatCode="_-* #,##0\ _€_-;\-* #,##0\ _€_-;_-* &quot;-&quot;??\ _€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2" fillId="0" borderId="0" xfId="0" applyFont="1"/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0" borderId="2" xfId="0" applyBorder="1"/>
    <xf numFmtId="0" fontId="2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/>
    <xf numFmtId="2" fontId="1" fillId="5" borderId="2" xfId="0" applyNumberFormat="1" applyFon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2" borderId="0" xfId="0" applyFont="1" applyFill="1"/>
    <xf numFmtId="0" fontId="1" fillId="2" borderId="0" xfId="0" applyFont="1" applyFill="1"/>
    <xf numFmtId="0" fontId="3" fillId="0" borderId="2" xfId="0" applyFont="1" applyBorder="1"/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/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6" borderId="0" xfId="0" applyFont="1" applyFill="1"/>
    <xf numFmtId="0" fontId="3" fillId="0" borderId="2" xfId="0" applyFont="1" applyBorder="1" applyAlignment="1">
      <alignment vertical="center"/>
    </xf>
    <xf numFmtId="0" fontId="3" fillId="0" borderId="7" xfId="0" applyFont="1" applyFill="1" applyBorder="1" applyAlignment="1"/>
    <xf numFmtId="0" fontId="0" fillId="0" borderId="8" xfId="0" applyBorder="1" applyAlignment="1"/>
    <xf numFmtId="164" fontId="0" fillId="6" borderId="2" xfId="0" applyNumberFormat="1" applyFill="1" applyBorder="1" applyAlignment="1">
      <alignment horizontal="center" vertical="center"/>
    </xf>
    <xf numFmtId="164" fontId="0" fillId="6" borderId="0" xfId="0" applyNumberForma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/>
    <xf numFmtId="164" fontId="0" fillId="7" borderId="0" xfId="0" applyNumberFormat="1" applyFill="1" applyBorder="1" applyAlignment="1">
      <alignment horizontal="center" vertical="center"/>
    </xf>
    <xf numFmtId="2" fontId="1" fillId="7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0" xfId="0" applyNumberFormat="1"/>
    <xf numFmtId="165" fontId="0" fillId="0" borderId="2" xfId="1" applyNumberFormat="1" applyFont="1" applyBorder="1" applyAlignment="1">
      <alignment horizontal="center" vertical="center"/>
    </xf>
    <xf numFmtId="165" fontId="0" fillId="0" borderId="0" xfId="1" applyNumberFormat="1" applyFont="1"/>
    <xf numFmtId="0" fontId="11" fillId="2" borderId="0" xfId="0" applyFont="1" applyFill="1" applyAlignment="1">
      <alignment horizontal="center"/>
    </xf>
    <xf numFmtId="0" fontId="0" fillId="0" borderId="0" xfId="0" applyFill="1"/>
    <xf numFmtId="2" fontId="0" fillId="0" borderId="0" xfId="0" applyNumberFormat="1" applyFill="1" applyAlignment="1">
      <alignment horizontal="center" vertical="center"/>
    </xf>
    <xf numFmtId="2" fontId="11" fillId="5" borderId="2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 applyAlignment="1">
      <alignment wrapText="1"/>
    </xf>
    <xf numFmtId="164" fontId="0" fillId="0" borderId="0" xfId="0" applyNumberFormat="1" applyFill="1" applyBorder="1" applyAlignment="1">
      <alignment horizontal="center" vertical="center"/>
    </xf>
    <xf numFmtId="0" fontId="1" fillId="0" borderId="0" xfId="0" applyFont="1" applyFill="1"/>
    <xf numFmtId="0" fontId="0" fillId="7" borderId="0" xfId="0" applyFill="1"/>
    <xf numFmtId="1" fontId="0" fillId="11" borderId="10" xfId="0" applyNumberFormat="1" applyFill="1" applyBorder="1" applyAlignment="1">
      <alignment horizontal="center" vertical="center"/>
    </xf>
    <xf numFmtId="164" fontId="0" fillId="11" borderId="10" xfId="0" applyNumberFormat="1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2" fontId="16" fillId="8" borderId="10" xfId="0" applyNumberFormat="1" applyFont="1" applyFill="1" applyBorder="1" applyAlignment="1">
      <alignment horizontal="center" vertical="center" wrapText="1"/>
    </xf>
    <xf numFmtId="1" fontId="16" fillId="8" borderId="10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0" fontId="3" fillId="10" borderId="10" xfId="0" applyFont="1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164" fontId="12" fillId="9" borderId="10" xfId="0" applyNumberFormat="1" applyFont="1" applyFill="1" applyBorder="1" applyAlignment="1">
      <alignment horizontal="center" vertical="center"/>
    </xf>
    <xf numFmtId="0" fontId="12" fillId="12" borderId="10" xfId="0" applyFont="1" applyFill="1" applyBorder="1" applyAlignment="1">
      <alignment vertical="center"/>
    </xf>
    <xf numFmtId="0" fontId="16" fillId="8" borderId="10" xfId="0" applyFont="1" applyFill="1" applyBorder="1" applyAlignment="1">
      <alignment horizontal="center" vertical="center" wrapText="1"/>
    </xf>
    <xf numFmtId="0" fontId="17" fillId="12" borderId="10" xfId="0" applyFont="1" applyFill="1" applyBorder="1" applyAlignment="1">
      <alignment horizontal="center" vertical="center" wrapText="1"/>
    </xf>
    <xf numFmtId="0" fontId="8" fillId="7" borderId="0" xfId="0" applyFont="1" applyFill="1" applyBorder="1"/>
    <xf numFmtId="0" fontId="8" fillId="7" borderId="0" xfId="0" applyFont="1" applyFill="1"/>
    <xf numFmtId="0" fontId="15" fillId="8" borderId="11" xfId="0" applyFont="1" applyFill="1" applyBorder="1" applyAlignment="1">
      <alignment horizontal="left" vertical="center"/>
    </xf>
    <xf numFmtId="0" fontId="15" fillId="8" borderId="12" xfId="0" applyFont="1" applyFill="1" applyBorder="1" applyAlignment="1">
      <alignment horizontal="left" vertical="center"/>
    </xf>
    <xf numFmtId="0" fontId="13" fillId="13" borderId="13" xfId="0" applyFont="1" applyFill="1" applyBorder="1" applyAlignment="1">
      <alignment horizontal="center" vertical="justify"/>
    </xf>
    <xf numFmtId="0" fontId="12" fillId="9" borderId="10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2" fillId="0" borderId="14" xfId="0" applyFont="1" applyFill="1" applyBorder="1" applyAlignment="1">
      <alignment horizontal="left"/>
    </xf>
    <xf numFmtId="0" fontId="3" fillId="10" borderId="11" xfId="0" applyFont="1" applyFill="1" applyBorder="1" applyAlignment="1">
      <alignment horizontal="left" vertical="center"/>
    </xf>
    <xf numFmtId="0" fontId="3" fillId="10" borderId="12" xfId="0" applyFont="1" applyFill="1" applyBorder="1" applyAlignment="1">
      <alignment horizontal="left" vertical="center"/>
    </xf>
    <xf numFmtId="0" fontId="12" fillId="12" borderId="11" xfId="0" applyFont="1" applyFill="1" applyBorder="1" applyAlignment="1">
      <alignment horizontal="left" vertical="center" wrapText="1"/>
    </xf>
    <xf numFmtId="0" fontId="12" fillId="12" borderId="1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/>
    <xf numFmtId="0" fontId="0" fillId="0" borderId="8" xfId="0" applyBorder="1" applyAlignment="1"/>
    <xf numFmtId="0" fontId="0" fillId="6" borderId="7" xfId="0" applyFill="1" applyBorder="1" applyAlignment="1">
      <alignment wrapText="1"/>
    </xf>
    <xf numFmtId="0" fontId="0" fillId="0" borderId="8" xfId="0" applyBorder="1" applyAlignment="1">
      <alignment wrapText="1"/>
    </xf>
    <xf numFmtId="0" fontId="5" fillId="7" borderId="7" xfId="0" applyFont="1" applyFill="1" applyBorder="1" applyAlignment="1">
      <alignment horizontal="left" vertical="center" wrapText="1"/>
    </xf>
    <xf numFmtId="0" fontId="0" fillId="7" borderId="8" xfId="0" applyFill="1" applyBorder="1" applyAlignment="1">
      <alignment horizontal="left" vertical="center" wrapText="1"/>
    </xf>
    <xf numFmtId="0" fontId="0" fillId="2" borderId="7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/>
    <xf numFmtId="0" fontId="5" fillId="5" borderId="7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/>
    <xf numFmtId="0" fontId="5" fillId="5" borderId="2" xfId="0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workbookViewId="0">
      <selection activeCell="J10" sqref="J10"/>
    </sheetView>
  </sheetViews>
  <sheetFormatPr baseColWidth="10" defaultRowHeight="15" x14ac:dyDescent="0.25"/>
  <cols>
    <col min="1" max="2" width="11.42578125" style="61"/>
    <col min="3" max="3" width="23.85546875" style="61" customWidth="1"/>
    <col min="4" max="16384" width="11.42578125" style="61"/>
  </cols>
  <sheetData>
    <row r="2" spans="2:9" ht="31.5" customHeight="1" thickBot="1" x14ac:dyDescent="0.3">
      <c r="B2" s="81" t="s">
        <v>152</v>
      </c>
      <c r="C2" s="81"/>
      <c r="D2" s="81"/>
      <c r="E2" s="81"/>
      <c r="F2" s="81"/>
      <c r="G2" s="81"/>
      <c r="H2" s="81"/>
      <c r="I2" s="81"/>
    </row>
    <row r="3" spans="2:9" ht="15.75" thickBot="1" x14ac:dyDescent="0.3">
      <c r="B3" s="74" t="s">
        <v>157</v>
      </c>
      <c r="C3" s="74"/>
      <c r="D3" s="76">
        <f>+cálculos!J76</f>
        <v>2017</v>
      </c>
      <c r="E3" s="76">
        <f>+cálculos!K76</f>
        <v>2018</v>
      </c>
      <c r="F3" s="76">
        <f>+cálculos!L76</f>
        <v>2019</v>
      </c>
      <c r="G3" s="76">
        <f>+cálculos!M76</f>
        <v>2020</v>
      </c>
      <c r="H3" s="76">
        <f>+cálculos!N76</f>
        <v>2021</v>
      </c>
      <c r="I3" s="76">
        <f>+cálculos!O76</f>
        <v>2022</v>
      </c>
    </row>
    <row r="4" spans="2:9" ht="15.75" thickBot="1" x14ac:dyDescent="0.3">
      <c r="B4" s="79" t="s">
        <v>151</v>
      </c>
      <c r="C4" s="80"/>
      <c r="D4" s="75">
        <f>+cálculos!J77</f>
        <v>0</v>
      </c>
      <c r="E4" s="75">
        <f>+cálculos!K77</f>
        <v>0</v>
      </c>
      <c r="F4" s="75">
        <f>+cálculos!L77</f>
        <v>0</v>
      </c>
      <c r="G4" s="75">
        <f>+cálculos!M77</f>
        <v>0</v>
      </c>
      <c r="H4" s="75">
        <f>+cálculos!N77</f>
        <v>0</v>
      </c>
      <c r="I4" s="75">
        <f>+cálculos!O77</f>
        <v>0</v>
      </c>
    </row>
    <row r="5" spans="2:9" ht="15.75" thickBot="1" x14ac:dyDescent="0.3">
      <c r="B5" s="67" t="s">
        <v>125</v>
      </c>
      <c r="C5" s="67"/>
      <c r="D5" s="62">
        <f>+cálculos!J78</f>
        <v>8</v>
      </c>
      <c r="E5" s="62">
        <f>+cálculos!K78</f>
        <v>8</v>
      </c>
      <c r="F5" s="62">
        <f>+cálculos!L78</f>
        <v>8</v>
      </c>
      <c r="G5" s="62">
        <f>+cálculos!M78</f>
        <v>8</v>
      </c>
      <c r="H5" s="62">
        <f>+cálculos!N78</f>
        <v>8</v>
      </c>
      <c r="I5" s="62">
        <f>+cálculos!O78</f>
        <v>8</v>
      </c>
    </row>
    <row r="6" spans="2:9" ht="15.75" thickBot="1" x14ac:dyDescent="0.3">
      <c r="B6" s="67" t="s">
        <v>155</v>
      </c>
      <c r="C6" s="67"/>
      <c r="D6" s="63">
        <f>+cálculos!J79</f>
        <v>0.625</v>
      </c>
      <c r="E6" s="63">
        <f>+cálculos!K79</f>
        <v>0.625</v>
      </c>
      <c r="F6" s="63">
        <f>+cálculos!L79</f>
        <v>0.625</v>
      </c>
      <c r="G6" s="63">
        <f>+cálculos!M79</f>
        <v>0.625</v>
      </c>
      <c r="H6" s="63">
        <f>+cálculos!N79</f>
        <v>0.625</v>
      </c>
      <c r="I6" s="63">
        <f>+cálculos!O79</f>
        <v>0.625</v>
      </c>
    </row>
    <row r="7" spans="2:9" ht="15.75" thickBot="1" x14ac:dyDescent="0.3">
      <c r="B7" s="67" t="s">
        <v>127</v>
      </c>
      <c r="C7" s="67"/>
      <c r="D7" s="64">
        <f>+cálculos!J80</f>
        <v>1</v>
      </c>
      <c r="E7" s="64">
        <f>+cálculos!K80</f>
        <v>1</v>
      </c>
      <c r="F7" s="64">
        <f>+cálculos!L80</f>
        <v>1</v>
      </c>
      <c r="G7" s="64">
        <f>+cálculos!M80</f>
        <v>1</v>
      </c>
      <c r="H7" s="64">
        <f>+cálculos!N80</f>
        <v>1</v>
      </c>
      <c r="I7" s="64">
        <f>+cálculos!O80</f>
        <v>1</v>
      </c>
    </row>
    <row r="8" spans="2:9" ht="15.75" thickBot="1" x14ac:dyDescent="0.3">
      <c r="B8" s="83" t="s">
        <v>128</v>
      </c>
      <c r="C8" s="84"/>
      <c r="D8" s="64">
        <f>+cálculos!J81</f>
        <v>0</v>
      </c>
      <c r="E8" s="64">
        <f>+cálculos!K81</f>
        <v>0</v>
      </c>
      <c r="F8" s="64">
        <f>+cálculos!L81</f>
        <v>0</v>
      </c>
      <c r="G8" s="64">
        <f>+cálculos!M81</f>
        <v>0</v>
      </c>
      <c r="H8" s="64">
        <f>+cálculos!N81</f>
        <v>0</v>
      </c>
      <c r="I8" s="64">
        <f>+cálculos!O81</f>
        <v>0</v>
      </c>
    </row>
    <row r="9" spans="2:9" ht="15.75" thickBot="1" x14ac:dyDescent="0.3">
      <c r="B9" s="67" t="s">
        <v>129</v>
      </c>
      <c r="C9" s="67"/>
      <c r="D9" s="63">
        <f>+cálculos!J82</f>
        <v>1.1235294117647059</v>
      </c>
      <c r="E9" s="63">
        <f>+cálculos!K82</f>
        <v>1.1235294117647059</v>
      </c>
      <c r="F9" s="63">
        <f>+cálculos!L82</f>
        <v>1.1235294117647059</v>
      </c>
      <c r="G9" s="63">
        <f>+cálculos!M82</f>
        <v>1.1235294117647059</v>
      </c>
      <c r="H9" s="63">
        <f>+cálculos!N82</f>
        <v>1.1235294117647059</v>
      </c>
      <c r="I9" s="63">
        <f>+cálculos!O82</f>
        <v>1.1235294117647059</v>
      </c>
    </row>
    <row r="10" spans="2:9" ht="15.75" thickBot="1" x14ac:dyDescent="0.3">
      <c r="B10" s="83" t="s">
        <v>136</v>
      </c>
      <c r="C10" s="84"/>
      <c r="D10" s="64">
        <f>+cálculos!J83</f>
        <v>0</v>
      </c>
      <c r="E10" s="64">
        <f>+cálculos!K83</f>
        <v>0</v>
      </c>
      <c r="F10" s="64">
        <f>+cálculos!L83</f>
        <v>0</v>
      </c>
      <c r="G10" s="64">
        <f>+cálculos!M83</f>
        <v>0</v>
      </c>
      <c r="H10" s="64">
        <f>+cálculos!N83</f>
        <v>0</v>
      </c>
      <c r="I10" s="64">
        <f>+cálculos!O83</f>
        <v>0</v>
      </c>
    </row>
    <row r="11" spans="2:9" ht="15.75" thickBot="1" x14ac:dyDescent="0.3">
      <c r="B11" s="83" t="s">
        <v>145</v>
      </c>
      <c r="C11" s="84"/>
      <c r="D11" s="64">
        <f>+cálculos!J84</f>
        <v>0</v>
      </c>
      <c r="E11" s="64">
        <f>+cálculos!K84</f>
        <v>0</v>
      </c>
      <c r="F11" s="64">
        <f>+cálculos!L84</f>
        <v>2.4000000000000004</v>
      </c>
      <c r="G11" s="64">
        <f>+cálculos!M84</f>
        <v>2.4000000000000004</v>
      </c>
      <c r="H11" s="64">
        <f>+cálculos!N84</f>
        <v>4</v>
      </c>
      <c r="I11" s="64">
        <f>+cálculos!O84</f>
        <v>4</v>
      </c>
    </row>
    <row r="12" spans="2:9" ht="15.75" thickBot="1" x14ac:dyDescent="0.3">
      <c r="B12" s="83" t="s">
        <v>146</v>
      </c>
      <c r="C12" s="84"/>
      <c r="D12" s="64">
        <f>+cálculos!J85</f>
        <v>0</v>
      </c>
      <c r="E12" s="64">
        <f>+cálculos!K85</f>
        <v>0</v>
      </c>
      <c r="F12" s="64">
        <f>+cálculos!L85</f>
        <v>0.05</v>
      </c>
      <c r="G12" s="64">
        <f>+cálculos!M85</f>
        <v>0.05</v>
      </c>
      <c r="H12" s="64">
        <f>+cálculos!N85</f>
        <v>0.05</v>
      </c>
      <c r="I12" s="64">
        <f>+cálculos!O85</f>
        <v>0</v>
      </c>
    </row>
    <row r="13" spans="2:9" ht="15.75" thickBot="1" x14ac:dyDescent="0.3">
      <c r="B13" s="82" t="s">
        <v>153</v>
      </c>
      <c r="C13" s="82"/>
      <c r="D13" s="73">
        <f>+cálculos!J86</f>
        <v>86.315857496746034</v>
      </c>
      <c r="E13" s="73">
        <f>+cálculos!K86</f>
        <v>83.167218826538445</v>
      </c>
      <c r="F13" s="73">
        <f>+cálculos!L86</f>
        <v>86.848998717282385</v>
      </c>
      <c r="G13" s="73">
        <f>+cálculos!M86</f>
        <v>88.109259067927752</v>
      </c>
      <c r="H13" s="73">
        <f>+cálculos!N86</f>
        <v>87.678168878641372</v>
      </c>
      <c r="I13" s="73">
        <f>+cálculos!O86</f>
        <v>88.867688024793352</v>
      </c>
    </row>
    <row r="14" spans="2:9" ht="3.75" customHeight="1" thickBot="1" x14ac:dyDescent="0.3">
      <c r="B14" s="72"/>
      <c r="C14" s="71"/>
      <c r="D14" s="71"/>
      <c r="E14" s="71"/>
      <c r="F14" s="71"/>
      <c r="G14" s="71"/>
      <c r="H14" s="71"/>
      <c r="I14" s="71"/>
    </row>
    <row r="15" spans="2:9" ht="15.75" thickBot="1" x14ac:dyDescent="0.3">
      <c r="B15" s="74" t="s">
        <v>158</v>
      </c>
      <c r="C15" s="74"/>
      <c r="D15" s="76">
        <f>+cálculos!J88</f>
        <v>2017</v>
      </c>
      <c r="E15" s="76">
        <f>+cálculos!K88</f>
        <v>2018</v>
      </c>
      <c r="F15" s="76">
        <f>+cálculos!L88</f>
        <v>2019</v>
      </c>
      <c r="G15" s="76">
        <f>+cálculos!M88</f>
        <v>2020</v>
      </c>
      <c r="H15" s="76">
        <f>+cálculos!N88</f>
        <v>2021</v>
      </c>
      <c r="I15" s="76">
        <f>+cálculos!O88</f>
        <v>2022</v>
      </c>
    </row>
    <row r="16" spans="2:9" ht="15" customHeight="1" thickBot="1" x14ac:dyDescent="0.3">
      <c r="B16" s="68" t="s">
        <v>143</v>
      </c>
      <c r="C16" s="69"/>
      <c r="D16" s="65">
        <f>+cálculos!J89</f>
        <v>75.567328084981327</v>
      </c>
      <c r="E16" s="65">
        <f>+cálculos!K89</f>
        <v>72.418689414773738</v>
      </c>
      <c r="F16" s="65">
        <f>+cálculos!L89</f>
        <v>73.650469305517674</v>
      </c>
      <c r="G16" s="65">
        <f>+cálculos!M89</f>
        <v>74.910729656163042</v>
      </c>
      <c r="H16" s="65">
        <f>+cálculos!N89</f>
        <v>72.879639466876668</v>
      </c>
      <c r="I16" s="65">
        <f>+cálculos!O89</f>
        <v>74.119158613028645</v>
      </c>
    </row>
    <row r="17" spans="2:9" ht="15.75" thickBot="1" x14ac:dyDescent="0.3">
      <c r="B17" s="67" t="s">
        <v>125</v>
      </c>
      <c r="C17" s="67"/>
      <c r="D17" s="62">
        <f>+cálculos!J90</f>
        <v>8</v>
      </c>
      <c r="E17" s="62">
        <f>+cálculos!K90</f>
        <v>8</v>
      </c>
      <c r="F17" s="62">
        <f>+cálculos!L90</f>
        <v>8</v>
      </c>
      <c r="G17" s="62">
        <f>+cálculos!M90</f>
        <v>8</v>
      </c>
      <c r="H17" s="62">
        <f>+cálculos!N90</f>
        <v>8</v>
      </c>
      <c r="I17" s="62">
        <f>+cálculos!O90</f>
        <v>8</v>
      </c>
    </row>
    <row r="18" spans="2:9" ht="15.75" thickBot="1" x14ac:dyDescent="0.3">
      <c r="B18" s="67" t="s">
        <v>155</v>
      </c>
      <c r="C18" s="67"/>
      <c r="D18" s="63">
        <f>+cálculos!J91</f>
        <v>0.625</v>
      </c>
      <c r="E18" s="63">
        <f>+cálculos!K91</f>
        <v>0.625</v>
      </c>
      <c r="F18" s="63">
        <f>+cálculos!L91</f>
        <v>0.625</v>
      </c>
      <c r="G18" s="63">
        <f>+cálculos!M91</f>
        <v>0.625</v>
      </c>
      <c r="H18" s="63">
        <f>+cálculos!N91</f>
        <v>0.625</v>
      </c>
      <c r="I18" s="63">
        <f>+cálculos!O91</f>
        <v>0.625</v>
      </c>
    </row>
    <row r="19" spans="2:9" ht="15.75" thickBot="1" x14ac:dyDescent="0.3">
      <c r="B19" s="67" t="s">
        <v>127</v>
      </c>
      <c r="C19" s="67"/>
      <c r="D19" s="64">
        <f>+cálculos!J92</f>
        <v>1</v>
      </c>
      <c r="E19" s="64">
        <f>+cálculos!K92</f>
        <v>1</v>
      </c>
      <c r="F19" s="64">
        <f>+cálculos!L92</f>
        <v>1</v>
      </c>
      <c r="G19" s="64">
        <f>+cálculos!M92</f>
        <v>1</v>
      </c>
      <c r="H19" s="64">
        <f>+cálculos!N92</f>
        <v>1</v>
      </c>
      <c r="I19" s="64">
        <f>+cálculos!O92</f>
        <v>1</v>
      </c>
    </row>
    <row r="20" spans="2:9" ht="15.75" thickBot="1" x14ac:dyDescent="0.3">
      <c r="B20" s="83" t="s">
        <v>128</v>
      </c>
      <c r="C20" s="84"/>
      <c r="D20" s="64">
        <f>+cálculos!J93</f>
        <v>0</v>
      </c>
      <c r="E20" s="64">
        <f>+cálculos!K93</f>
        <v>0</v>
      </c>
      <c r="F20" s="64">
        <f>+cálculos!L93</f>
        <v>0</v>
      </c>
      <c r="G20" s="64">
        <f>+cálculos!M93</f>
        <v>0</v>
      </c>
      <c r="H20" s="64">
        <f>+cálculos!N93</f>
        <v>0</v>
      </c>
      <c r="I20" s="64">
        <f>+cálculos!O93</f>
        <v>0</v>
      </c>
    </row>
    <row r="21" spans="2:9" ht="15.75" thickBot="1" x14ac:dyDescent="0.3">
      <c r="B21" s="67" t="s">
        <v>129</v>
      </c>
      <c r="C21" s="67"/>
      <c r="D21" s="63">
        <f>+cálculos!J94</f>
        <v>1.1235294117647059</v>
      </c>
      <c r="E21" s="63">
        <f>+cálculos!K94</f>
        <v>1.1235294117647059</v>
      </c>
      <c r="F21" s="63">
        <f>+cálculos!L94</f>
        <v>1.1235294117647059</v>
      </c>
      <c r="G21" s="63">
        <f>+cálculos!M94</f>
        <v>1.1235294117647059</v>
      </c>
      <c r="H21" s="63">
        <f>+cálculos!N94</f>
        <v>1.1235294117647059</v>
      </c>
      <c r="I21" s="63">
        <f>+cálculos!O94</f>
        <v>1.1235294117647059</v>
      </c>
    </row>
    <row r="22" spans="2:9" ht="15.75" thickBot="1" x14ac:dyDescent="0.3">
      <c r="B22" s="83" t="s">
        <v>136</v>
      </c>
      <c r="C22" s="84"/>
      <c r="D22" s="64">
        <f>+cálculos!J95</f>
        <v>0</v>
      </c>
      <c r="E22" s="64">
        <f>+cálculos!K95</f>
        <v>0</v>
      </c>
      <c r="F22" s="64">
        <f>+cálculos!L95</f>
        <v>0</v>
      </c>
      <c r="G22" s="64">
        <f>+cálculos!M95</f>
        <v>0</v>
      </c>
      <c r="H22" s="64">
        <f>+cálculos!N95</f>
        <v>0</v>
      </c>
      <c r="I22" s="64">
        <f>+cálculos!O95</f>
        <v>0</v>
      </c>
    </row>
    <row r="23" spans="2:9" ht="15.75" thickBot="1" x14ac:dyDescent="0.3">
      <c r="B23" s="83" t="s">
        <v>145</v>
      </c>
      <c r="C23" s="84"/>
      <c r="D23" s="64">
        <f>+cálculos!J96</f>
        <v>0</v>
      </c>
      <c r="E23" s="64">
        <f>+cálculos!K96</f>
        <v>0</v>
      </c>
      <c r="F23" s="64">
        <f>+cálculos!L96</f>
        <v>6</v>
      </c>
      <c r="G23" s="64">
        <f>+cálculos!M96</f>
        <v>6</v>
      </c>
      <c r="H23" s="64">
        <f>+cálculos!N96</f>
        <v>10</v>
      </c>
      <c r="I23" s="64">
        <f>+cálculos!O96</f>
        <v>10</v>
      </c>
    </row>
    <row r="24" spans="2:9" ht="15.75" thickBot="1" x14ac:dyDescent="0.3">
      <c r="B24" s="83" t="s">
        <v>138</v>
      </c>
      <c r="C24" s="84"/>
      <c r="D24" s="64">
        <f>+cálculos!J97</f>
        <v>0</v>
      </c>
      <c r="E24" s="64">
        <f>+cálculos!K97</f>
        <v>0</v>
      </c>
      <c r="F24" s="64">
        <f>+cálculos!L97</f>
        <v>0.05</v>
      </c>
      <c r="G24" s="64">
        <f>+cálculos!M97</f>
        <v>0.05</v>
      </c>
      <c r="H24" s="64">
        <f>+cálculos!N97</f>
        <v>0.05</v>
      </c>
      <c r="I24" s="64">
        <f>+cálculos!O97</f>
        <v>0</v>
      </c>
    </row>
    <row r="25" spans="2:9" ht="15.75" thickBot="1" x14ac:dyDescent="0.3">
      <c r="B25" s="82" t="s">
        <v>153</v>
      </c>
      <c r="C25" s="82"/>
      <c r="D25" s="73">
        <f>+cálculos!J98</f>
        <v>86.315857496746034</v>
      </c>
      <c r="E25" s="73">
        <f>+cálculos!K98</f>
        <v>83.167218826538445</v>
      </c>
      <c r="F25" s="73">
        <f>+cálculos!L98</f>
        <v>90.448998717282379</v>
      </c>
      <c r="G25" s="73">
        <f>+cálculos!M98</f>
        <v>91.709259067927746</v>
      </c>
      <c r="H25" s="73">
        <f>+cálculos!N98</f>
        <v>93.678168878641372</v>
      </c>
      <c r="I25" s="73">
        <f>+cálculos!O98</f>
        <v>94.867688024793352</v>
      </c>
    </row>
    <row r="26" spans="2:9" ht="3.75" customHeight="1" thickBot="1" x14ac:dyDescent="0.3">
      <c r="B26" s="72"/>
      <c r="C26" s="71"/>
      <c r="D26" s="71"/>
      <c r="E26" s="71"/>
      <c r="F26" s="71"/>
      <c r="G26" s="71"/>
      <c r="H26" s="71"/>
      <c r="I26" s="71"/>
    </row>
    <row r="27" spans="2:9" ht="30" customHeight="1" thickBot="1" x14ac:dyDescent="0.3">
      <c r="B27" s="88" t="s">
        <v>159</v>
      </c>
      <c r="C27" s="89"/>
      <c r="D27" s="76">
        <f>+cálculos!J101</f>
        <v>2017</v>
      </c>
      <c r="E27" s="76">
        <f>+cálculos!K101</f>
        <v>2018</v>
      </c>
      <c r="F27" s="76">
        <f>+cálculos!L101</f>
        <v>2019</v>
      </c>
      <c r="G27" s="76">
        <f>+cálculos!M101</f>
        <v>2020</v>
      </c>
      <c r="H27" s="76">
        <f>+cálculos!N101</f>
        <v>2021</v>
      </c>
      <c r="I27" s="76">
        <f>+cálculos!O101</f>
        <v>2022</v>
      </c>
    </row>
    <row r="28" spans="2:9" ht="15" customHeight="1" thickBot="1" x14ac:dyDescent="0.3">
      <c r="B28" s="68" t="s">
        <v>154</v>
      </c>
      <c r="C28" s="68"/>
      <c r="D28" s="66">
        <v>65</v>
      </c>
      <c r="E28" s="66">
        <f>+D28</f>
        <v>65</v>
      </c>
      <c r="F28" s="66">
        <f t="shared" ref="F28:I28" si="0">+E28</f>
        <v>65</v>
      </c>
      <c r="G28" s="66">
        <f t="shared" si="0"/>
        <v>65</v>
      </c>
      <c r="H28" s="66">
        <f t="shared" si="0"/>
        <v>65</v>
      </c>
      <c r="I28" s="66">
        <f t="shared" si="0"/>
        <v>65</v>
      </c>
    </row>
    <row r="29" spans="2:9" ht="15.75" thickBot="1" x14ac:dyDescent="0.3">
      <c r="B29" s="70" t="s">
        <v>125</v>
      </c>
      <c r="C29" s="70"/>
      <c r="D29" s="62">
        <f>+cálculos!J103</f>
        <v>0</v>
      </c>
      <c r="E29" s="62">
        <f>+cálculos!K103</f>
        <v>0</v>
      </c>
      <c r="F29" s="62">
        <f>+cálculos!L103</f>
        <v>0</v>
      </c>
      <c r="G29" s="62">
        <f>+cálculos!M103</f>
        <v>0</v>
      </c>
      <c r="H29" s="62">
        <f>+cálculos!N103</f>
        <v>0</v>
      </c>
      <c r="I29" s="62">
        <f>+cálculos!O103</f>
        <v>0</v>
      </c>
    </row>
    <row r="30" spans="2:9" ht="15.75" thickBot="1" x14ac:dyDescent="0.3">
      <c r="B30" s="67" t="s">
        <v>155</v>
      </c>
      <c r="C30" s="70"/>
      <c r="D30" s="63">
        <f>+cálculos!J104</f>
        <v>0.625</v>
      </c>
      <c r="E30" s="63">
        <f>+cálculos!K104</f>
        <v>0.625</v>
      </c>
      <c r="F30" s="63">
        <f>+cálculos!L104</f>
        <v>0.625</v>
      </c>
      <c r="G30" s="63">
        <f>+cálculos!M104</f>
        <v>0.625</v>
      </c>
      <c r="H30" s="63">
        <f>+cálculos!N104</f>
        <v>0.625</v>
      </c>
      <c r="I30" s="63">
        <f>+cálculos!O104</f>
        <v>0.625</v>
      </c>
    </row>
    <row r="31" spans="2:9" ht="15.75" thickBot="1" x14ac:dyDescent="0.3">
      <c r="B31" s="70" t="s">
        <v>127</v>
      </c>
      <c r="C31" s="70"/>
      <c r="D31" s="64">
        <f>+cálculos!J105</f>
        <v>1</v>
      </c>
      <c r="E31" s="64">
        <f>+cálculos!K105</f>
        <v>1</v>
      </c>
      <c r="F31" s="64">
        <f>+cálculos!L105</f>
        <v>1</v>
      </c>
      <c r="G31" s="64">
        <f>+cálculos!M105</f>
        <v>1</v>
      </c>
      <c r="H31" s="64">
        <f>+cálculos!N105</f>
        <v>1</v>
      </c>
      <c r="I31" s="64">
        <f>+cálculos!O105</f>
        <v>1</v>
      </c>
    </row>
    <row r="32" spans="2:9" ht="15.75" thickBot="1" x14ac:dyDescent="0.3">
      <c r="B32" s="86" t="s">
        <v>128</v>
      </c>
      <c r="C32" s="87"/>
      <c r="D32" s="64">
        <f>+cálculos!J106</f>
        <v>0</v>
      </c>
      <c r="E32" s="64">
        <f>+cálculos!K106</f>
        <v>0</v>
      </c>
      <c r="F32" s="64">
        <f>+cálculos!L106</f>
        <v>0</v>
      </c>
      <c r="G32" s="64">
        <f>+cálculos!M106</f>
        <v>0</v>
      </c>
      <c r="H32" s="64">
        <f>+cálculos!N106</f>
        <v>0</v>
      </c>
      <c r="I32" s="64">
        <f>+cálculos!O106</f>
        <v>0</v>
      </c>
    </row>
    <row r="33" spans="2:9" ht="15.75" thickBot="1" x14ac:dyDescent="0.3">
      <c r="B33" s="70" t="s">
        <v>129</v>
      </c>
      <c r="C33" s="70"/>
      <c r="D33" s="63">
        <f>+cálculos!J107</f>
        <v>1.1235294117647059</v>
      </c>
      <c r="E33" s="63">
        <f>+cálculos!K107</f>
        <v>1.1235294117647059</v>
      </c>
      <c r="F33" s="63">
        <f>+cálculos!L107</f>
        <v>1.1235294117647059</v>
      </c>
      <c r="G33" s="63">
        <f>+cálculos!M107</f>
        <v>1.1235294117647059</v>
      </c>
      <c r="H33" s="63">
        <f>+cálculos!N107</f>
        <v>1.1235294117647059</v>
      </c>
      <c r="I33" s="63">
        <f>+cálculos!O107</f>
        <v>1.1235294117647059</v>
      </c>
    </row>
    <row r="34" spans="2:9" ht="15.75" thickBot="1" x14ac:dyDescent="0.3">
      <c r="B34" s="70" t="s">
        <v>136</v>
      </c>
      <c r="C34" s="70"/>
      <c r="D34" s="64">
        <f>+cálculos!J108</f>
        <v>0</v>
      </c>
      <c r="E34" s="64">
        <f>+cálculos!K108</f>
        <v>0</v>
      </c>
      <c r="F34" s="64">
        <f>+cálculos!L108</f>
        <v>0</v>
      </c>
      <c r="G34" s="64">
        <f>+cálculos!M108</f>
        <v>0</v>
      </c>
      <c r="H34" s="64">
        <f>+cálculos!N108</f>
        <v>0</v>
      </c>
      <c r="I34" s="64">
        <f>+cálculos!O108</f>
        <v>0</v>
      </c>
    </row>
    <row r="35" spans="2:9" ht="15.75" thickBot="1" x14ac:dyDescent="0.3">
      <c r="B35" s="70" t="s">
        <v>137</v>
      </c>
      <c r="C35" s="70"/>
      <c r="D35" s="64">
        <f>+cálculos!J109</f>
        <v>0</v>
      </c>
      <c r="E35" s="64">
        <f>+cálculos!K109</f>
        <v>0</v>
      </c>
      <c r="F35" s="64">
        <f>+cálculos!L109</f>
        <v>0</v>
      </c>
      <c r="G35" s="64">
        <f>+cálculos!M109</f>
        <v>0</v>
      </c>
      <c r="H35" s="64">
        <f>+cálculos!N109</f>
        <v>0</v>
      </c>
      <c r="I35" s="64">
        <f>+cálculos!O109</f>
        <v>0</v>
      </c>
    </row>
    <row r="36" spans="2:9" ht="15.75" thickBot="1" x14ac:dyDescent="0.3">
      <c r="B36" s="70" t="s">
        <v>138</v>
      </c>
      <c r="C36" s="70"/>
      <c r="D36" s="64">
        <f>+cálculos!J110</f>
        <v>0</v>
      </c>
      <c r="E36" s="64">
        <f>+cálculos!K110</f>
        <v>0</v>
      </c>
      <c r="F36" s="64">
        <f>+cálculos!L110</f>
        <v>0</v>
      </c>
      <c r="G36" s="64">
        <f>+cálculos!M110</f>
        <v>0</v>
      </c>
      <c r="H36" s="64">
        <f>+cálculos!N110</f>
        <v>0</v>
      </c>
      <c r="I36" s="64">
        <f>+cálculos!O110</f>
        <v>0</v>
      </c>
    </row>
    <row r="37" spans="2:9" ht="15.75" thickBot="1" x14ac:dyDescent="0.3">
      <c r="B37" s="82" t="s">
        <v>153</v>
      </c>
      <c r="C37" s="82"/>
      <c r="D37" s="73">
        <f>+cálculos!J111</f>
        <v>67.748529411764707</v>
      </c>
      <c r="E37" s="73">
        <f>+cálculos!K111</f>
        <v>67.748529411764707</v>
      </c>
      <c r="F37" s="73">
        <f>+cálculos!L111</f>
        <v>67.748529411764707</v>
      </c>
      <c r="G37" s="73">
        <f>+cálculos!M111</f>
        <v>67.748529411764707</v>
      </c>
      <c r="H37" s="73">
        <f>+cálculos!N111</f>
        <v>67.748529411764707</v>
      </c>
      <c r="I37" s="73">
        <f>+cálculos!O111</f>
        <v>67.748529411764707</v>
      </c>
    </row>
    <row r="38" spans="2:9" x14ac:dyDescent="0.25">
      <c r="B38" s="85" t="s">
        <v>156</v>
      </c>
      <c r="C38" s="85"/>
      <c r="D38" s="85"/>
      <c r="E38" s="85"/>
      <c r="F38" s="85"/>
      <c r="G38" s="85"/>
      <c r="H38" s="85"/>
      <c r="I38" s="85"/>
    </row>
    <row r="39" spans="2:9" x14ac:dyDescent="0.25">
      <c r="B39" s="77"/>
    </row>
    <row r="40" spans="2:9" x14ac:dyDescent="0.25">
      <c r="B40" s="78"/>
    </row>
  </sheetData>
  <mergeCells count="16">
    <mergeCell ref="B38:I38"/>
    <mergeCell ref="B32:C32"/>
    <mergeCell ref="B27:C27"/>
    <mergeCell ref="B37:C37"/>
    <mergeCell ref="B22:C22"/>
    <mergeCell ref="B23:C23"/>
    <mergeCell ref="B24:C24"/>
    <mergeCell ref="B4:C4"/>
    <mergeCell ref="B2:I2"/>
    <mergeCell ref="B13:C13"/>
    <mergeCell ref="B20:C20"/>
    <mergeCell ref="B25:C25"/>
    <mergeCell ref="B8:C8"/>
    <mergeCell ref="B10:C10"/>
    <mergeCell ref="B11:C11"/>
    <mergeCell ref="B12:C1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15"/>
  <sheetViews>
    <sheetView tabSelected="1" topLeftCell="E1" workbookViewId="0">
      <selection activeCell="I77" sqref="I77"/>
    </sheetView>
  </sheetViews>
  <sheetFormatPr baseColWidth="10" defaultRowHeight="15" x14ac:dyDescent="0.25"/>
  <cols>
    <col min="1" max="1" width="8" customWidth="1"/>
    <col min="2" max="2" width="17.7109375" customWidth="1"/>
    <col min="3" max="3" width="22.5703125" customWidth="1"/>
    <col min="4" max="4" width="12.42578125" customWidth="1"/>
    <col min="5" max="5" width="21.5703125" customWidth="1"/>
    <col min="6" max="6" width="13.7109375" customWidth="1"/>
    <col min="7" max="7" width="15.28515625" customWidth="1"/>
    <col min="8" max="8" width="21.42578125" customWidth="1"/>
    <col min="9" max="9" width="4.42578125" customWidth="1"/>
    <col min="16" max="16" width="1.7109375" customWidth="1"/>
    <col min="17" max="17" width="4.85546875" customWidth="1"/>
    <col min="18" max="18" width="1.140625" customWidth="1"/>
    <col min="20" max="20" width="1.5703125" customWidth="1"/>
    <col min="21" max="26" width="15.5703125" bestFit="1" customWidth="1"/>
  </cols>
  <sheetData>
    <row r="2" spans="1:26" x14ac:dyDescent="0.25">
      <c r="A2" s="101" t="s">
        <v>0</v>
      </c>
      <c r="B2" s="102"/>
      <c r="J2" s="105" t="s">
        <v>1</v>
      </c>
      <c r="K2" s="105"/>
      <c r="L2" s="105"/>
      <c r="M2" s="105"/>
      <c r="N2" s="105"/>
      <c r="O2" s="105"/>
      <c r="P2" s="1"/>
      <c r="Q2" s="1"/>
      <c r="S2" s="49" t="s">
        <v>147</v>
      </c>
      <c r="U2" s="98" t="s">
        <v>148</v>
      </c>
      <c r="V2" s="99"/>
      <c r="W2" s="99"/>
      <c r="X2" s="99"/>
      <c r="Y2" s="99"/>
      <c r="Z2" s="100"/>
    </row>
    <row r="3" spans="1:26" ht="42" customHeight="1" x14ac:dyDescent="0.2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3"/>
      <c r="J3" s="4">
        <v>2017</v>
      </c>
      <c r="K3" s="4">
        <v>2018</v>
      </c>
      <c r="L3" s="4">
        <v>2019</v>
      </c>
      <c r="M3" s="4">
        <v>2020</v>
      </c>
      <c r="N3" s="4">
        <v>2021</v>
      </c>
      <c r="O3" s="4">
        <v>2022</v>
      </c>
      <c r="P3" s="5"/>
      <c r="Q3" s="4" t="s">
        <v>10</v>
      </c>
      <c r="S3" s="6" t="s">
        <v>11</v>
      </c>
      <c r="U3" s="7">
        <v>2017</v>
      </c>
      <c r="V3" s="7">
        <v>2018</v>
      </c>
      <c r="W3" s="7">
        <v>2019</v>
      </c>
      <c r="X3" s="7">
        <v>2020</v>
      </c>
      <c r="Y3" s="7">
        <v>2021</v>
      </c>
      <c r="Z3" s="7">
        <v>2022</v>
      </c>
    </row>
    <row r="4" spans="1:26" x14ac:dyDescent="0.25">
      <c r="A4" s="8" t="s">
        <v>12</v>
      </c>
      <c r="B4" s="8" t="s">
        <v>13</v>
      </c>
      <c r="C4" s="8" t="s">
        <v>14</v>
      </c>
      <c r="D4" s="8" t="s">
        <v>15</v>
      </c>
      <c r="E4" s="8" t="s">
        <v>16</v>
      </c>
      <c r="F4" s="8">
        <v>118</v>
      </c>
      <c r="G4" s="8">
        <v>1.2</v>
      </c>
      <c r="H4" s="8">
        <v>1.2</v>
      </c>
      <c r="J4" s="9">
        <f>+F4*$C$75*$C$88</f>
        <v>144.02135999999999</v>
      </c>
      <c r="K4" s="9">
        <f>+F4*$C$76*$C$88</f>
        <v>138.02046999999996</v>
      </c>
      <c r="L4" s="9">
        <f>+F4*$C$77*$C$89</f>
        <v>140.36807999999999</v>
      </c>
      <c r="M4" s="9">
        <f>+F4*$C$78*$C$90</f>
        <v>142.76997</v>
      </c>
      <c r="N4" s="9">
        <f>+F4*$C$79*$C$91</f>
        <v>138.89898000000002</v>
      </c>
      <c r="O4" s="9">
        <f>+F4*$C$80*$C$92</f>
        <v>141.26134000000002</v>
      </c>
      <c r="P4" s="5"/>
      <c r="Q4" s="5">
        <v>0.25</v>
      </c>
      <c r="S4" s="10">
        <f>+$H$4*365*24*$Q$4</f>
        <v>2628</v>
      </c>
      <c r="U4" s="51">
        <f>+J4*$S$4</f>
        <v>378488.13407999999</v>
      </c>
      <c r="V4" s="51">
        <f t="shared" ref="V4:Z4" si="0">+K4*$S$4</f>
        <v>362717.79515999992</v>
      </c>
      <c r="W4" s="51">
        <f t="shared" si="0"/>
        <v>368887.31423999998</v>
      </c>
      <c r="X4" s="51">
        <f t="shared" si="0"/>
        <v>375199.48116000002</v>
      </c>
      <c r="Y4" s="51">
        <f t="shared" si="0"/>
        <v>365026.51944000006</v>
      </c>
      <c r="Z4" s="51">
        <f t="shared" si="0"/>
        <v>371234.80152000004</v>
      </c>
    </row>
    <row r="5" spans="1:26" x14ac:dyDescent="0.25">
      <c r="A5" s="11"/>
      <c r="B5" s="11"/>
      <c r="C5" s="11"/>
      <c r="D5" s="11"/>
      <c r="E5" s="11"/>
      <c r="F5" s="11"/>
      <c r="G5" s="11"/>
      <c r="H5" s="12">
        <f>SUM(H4)</f>
        <v>1.2</v>
      </c>
      <c r="S5" s="50"/>
      <c r="U5" s="52"/>
      <c r="V5" s="52"/>
      <c r="W5" s="52"/>
      <c r="X5" s="52"/>
      <c r="Y5" s="52"/>
      <c r="Z5" s="52"/>
    </row>
    <row r="6" spans="1:26" ht="24" x14ac:dyDescent="0.25">
      <c r="A6" s="2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S6" s="50"/>
      <c r="U6" s="52"/>
      <c r="V6" s="52"/>
      <c r="W6" s="52"/>
      <c r="X6" s="52"/>
      <c r="Y6" s="52"/>
      <c r="Z6" s="52"/>
    </row>
    <row r="7" spans="1:26" x14ac:dyDescent="0.25">
      <c r="A7" s="8" t="s">
        <v>17</v>
      </c>
      <c r="B7" s="8" t="s">
        <v>18</v>
      </c>
      <c r="C7" s="8" t="s">
        <v>19</v>
      </c>
      <c r="D7" s="8" t="s">
        <v>20</v>
      </c>
      <c r="E7" s="8" t="s">
        <v>21</v>
      </c>
      <c r="F7" s="8">
        <v>49.81</v>
      </c>
      <c r="G7" s="8">
        <v>10</v>
      </c>
      <c r="H7" s="8">
        <v>10</v>
      </c>
      <c r="J7" s="9">
        <f>+F7*$C$75*$C$88</f>
        <v>60.794101199999993</v>
      </c>
      <c r="K7" s="9">
        <f>+F7*$C$76*$C$88</f>
        <v>58.261013649999995</v>
      </c>
      <c r="L7" s="9">
        <f t="shared" ref="L7:L18" si="1">+F7*$C$77*$C$89</f>
        <v>59.251983600000003</v>
      </c>
      <c r="M7" s="9">
        <f t="shared" ref="M7:M18" si="2">+F7*$C$78*$C$90</f>
        <v>60.265866150000001</v>
      </c>
      <c r="N7" s="9">
        <f t="shared" ref="N7:N18" si="3">+F7*$C$79*$C$91</f>
        <v>58.631849100000004</v>
      </c>
      <c r="O7" s="9">
        <f t="shared" ref="O7:O18" si="4">+F7*$C$80*$C$92</f>
        <v>59.629045300000008</v>
      </c>
      <c r="P7" s="5"/>
      <c r="Q7" s="5">
        <v>0.4</v>
      </c>
      <c r="S7" s="10">
        <f>+$H$7*365*24*$Q$7</f>
        <v>35040</v>
      </c>
      <c r="U7" s="51">
        <f>+J7*$S$7</f>
        <v>2130225.3060479998</v>
      </c>
      <c r="V7" s="51">
        <f t="shared" ref="V7:Z7" si="5">+K7*$S$7</f>
        <v>2041465.9182959998</v>
      </c>
      <c r="W7" s="51">
        <f t="shared" si="5"/>
        <v>2076189.5053440002</v>
      </c>
      <c r="X7" s="51">
        <f t="shared" si="5"/>
        <v>2111715.9498959999</v>
      </c>
      <c r="Y7" s="51">
        <f t="shared" si="5"/>
        <v>2054459.9924640001</v>
      </c>
      <c r="Z7" s="51">
        <f t="shared" si="5"/>
        <v>2089401.7473120003</v>
      </c>
    </row>
    <row r="8" spans="1:26" x14ac:dyDescent="0.25">
      <c r="A8" s="8" t="s">
        <v>22</v>
      </c>
      <c r="B8" s="8" t="s">
        <v>23</v>
      </c>
      <c r="C8" s="8" t="s">
        <v>24</v>
      </c>
      <c r="D8" s="8" t="s">
        <v>20</v>
      </c>
      <c r="E8" s="8" t="s">
        <v>25</v>
      </c>
      <c r="F8" s="8">
        <v>49.08</v>
      </c>
      <c r="G8" s="8">
        <v>50</v>
      </c>
      <c r="H8" s="8">
        <v>50</v>
      </c>
      <c r="J8" s="9">
        <f t="shared" ref="J8:J18" si="6">+F8*$C$75*$C$88</f>
        <v>59.903121599999984</v>
      </c>
      <c r="K8" s="9">
        <f t="shared" ref="K8:K18" si="7">+F8*$C$76*$C$88</f>
        <v>57.407158199999984</v>
      </c>
      <c r="L8" s="9">
        <f t="shared" si="1"/>
        <v>58.383604799999993</v>
      </c>
      <c r="M8" s="9">
        <f t="shared" si="2"/>
        <v>59.382628199999992</v>
      </c>
      <c r="N8" s="9">
        <f t="shared" si="3"/>
        <v>57.772558799999999</v>
      </c>
      <c r="O8" s="9">
        <f t="shared" si="4"/>
        <v>58.755140400000002</v>
      </c>
      <c r="P8" s="5"/>
      <c r="Q8" s="5">
        <v>0.4</v>
      </c>
      <c r="S8" s="10">
        <f>+$H$8*365*24*$Q$8</f>
        <v>175200</v>
      </c>
      <c r="U8" s="51">
        <f>+J8*$S$8</f>
        <v>10495026.904319998</v>
      </c>
      <c r="V8" s="51">
        <f t="shared" ref="V8:Z8" si="8">+K8*$S$8</f>
        <v>10057734.116639998</v>
      </c>
      <c r="W8" s="51">
        <f t="shared" si="8"/>
        <v>10228807.560959999</v>
      </c>
      <c r="X8" s="51">
        <f t="shared" si="8"/>
        <v>10403836.460639998</v>
      </c>
      <c r="Y8" s="51">
        <f t="shared" si="8"/>
        <v>10121752.301759999</v>
      </c>
      <c r="Z8" s="51">
        <f t="shared" si="8"/>
        <v>10293900.59808</v>
      </c>
    </row>
    <row r="9" spans="1:26" x14ac:dyDescent="0.25">
      <c r="A9" s="8" t="s">
        <v>26</v>
      </c>
      <c r="B9" s="8" t="s">
        <v>27</v>
      </c>
      <c r="C9" s="8" t="s">
        <v>28</v>
      </c>
      <c r="D9" s="8" t="s">
        <v>20</v>
      </c>
      <c r="E9" s="8" t="s">
        <v>29</v>
      </c>
      <c r="F9" s="8">
        <v>54.96</v>
      </c>
      <c r="G9" s="8">
        <v>50</v>
      </c>
      <c r="H9" s="8">
        <v>50</v>
      </c>
      <c r="J9" s="9">
        <f t="shared" si="6"/>
        <v>67.07977919999999</v>
      </c>
      <c r="K9" s="9">
        <f t="shared" si="7"/>
        <v>64.284788399999982</v>
      </c>
      <c r="L9" s="9">
        <f t="shared" si="1"/>
        <v>65.378217599999999</v>
      </c>
      <c r="M9" s="9">
        <f t="shared" si="2"/>
        <v>66.496928400000002</v>
      </c>
      <c r="N9" s="9">
        <f t="shared" si="3"/>
        <v>64.693965600000013</v>
      </c>
      <c r="O9" s="9">
        <f t="shared" si="4"/>
        <v>65.794264800000008</v>
      </c>
      <c r="P9" s="5"/>
      <c r="Q9" s="5">
        <v>0.4</v>
      </c>
      <c r="S9" s="10">
        <f>+$H$9*365*24*$Q$9</f>
        <v>175200</v>
      </c>
      <c r="U9" s="51">
        <f>+J9*$S$9</f>
        <v>11752377.315839998</v>
      </c>
      <c r="V9" s="51">
        <f t="shared" ref="V9:Z9" si="9">+K9*$S$9</f>
        <v>11262694.927679997</v>
      </c>
      <c r="W9" s="51">
        <f t="shared" si="9"/>
        <v>11454263.72352</v>
      </c>
      <c r="X9" s="51">
        <f t="shared" si="9"/>
        <v>11650261.85568</v>
      </c>
      <c r="Y9" s="51">
        <f t="shared" si="9"/>
        <v>11334382.773120003</v>
      </c>
      <c r="Z9" s="51">
        <f t="shared" si="9"/>
        <v>11527155.192960002</v>
      </c>
    </row>
    <row r="10" spans="1:26" x14ac:dyDescent="0.25">
      <c r="A10" s="8" t="s">
        <v>30</v>
      </c>
      <c r="B10" s="8" t="s">
        <v>23</v>
      </c>
      <c r="C10" s="8" t="s">
        <v>31</v>
      </c>
      <c r="D10" s="8" t="s">
        <v>32</v>
      </c>
      <c r="E10" s="8" t="s">
        <v>33</v>
      </c>
      <c r="F10" s="8">
        <v>53.88</v>
      </c>
      <c r="G10" s="8">
        <v>75</v>
      </c>
      <c r="H10" s="8">
        <v>75</v>
      </c>
      <c r="J10" s="9">
        <f t="shared" si="6"/>
        <v>65.761617599999994</v>
      </c>
      <c r="K10" s="9">
        <f t="shared" si="7"/>
        <v>63.021550199999993</v>
      </c>
      <c r="L10" s="9">
        <f t="shared" si="1"/>
        <v>64.093492799999993</v>
      </c>
      <c r="M10" s="9">
        <f t="shared" si="2"/>
        <v>65.190220199999999</v>
      </c>
      <c r="N10" s="9">
        <f t="shared" si="3"/>
        <v>63.422686800000008</v>
      </c>
      <c r="O10" s="9">
        <f t="shared" si="4"/>
        <v>64.501364400000014</v>
      </c>
      <c r="P10" s="5"/>
      <c r="Q10" s="5">
        <v>0.4</v>
      </c>
      <c r="S10" s="10">
        <f>+$H$10*365*24*$Q$10</f>
        <v>262800</v>
      </c>
      <c r="U10" s="51">
        <f>+J10*$S$10</f>
        <v>17282153.105279997</v>
      </c>
      <c r="V10" s="51">
        <f t="shared" ref="V10:Z10" si="10">+K10*$S$10</f>
        <v>16562063.392559998</v>
      </c>
      <c r="W10" s="51">
        <f t="shared" si="10"/>
        <v>16843769.907839999</v>
      </c>
      <c r="X10" s="51">
        <f t="shared" si="10"/>
        <v>17131989.868560001</v>
      </c>
      <c r="Y10" s="51">
        <f t="shared" si="10"/>
        <v>16667482.091040002</v>
      </c>
      <c r="Z10" s="51">
        <f t="shared" si="10"/>
        <v>16950958.564320005</v>
      </c>
    </row>
    <row r="11" spans="1:26" x14ac:dyDescent="0.25">
      <c r="A11" s="8" t="s">
        <v>34</v>
      </c>
      <c r="B11" s="8" t="s">
        <v>23</v>
      </c>
      <c r="C11" s="8" t="s">
        <v>35</v>
      </c>
      <c r="D11" s="8" t="s">
        <v>36</v>
      </c>
      <c r="E11" s="8" t="s">
        <v>37</v>
      </c>
      <c r="F11" s="8">
        <v>56.98</v>
      </c>
      <c r="G11" s="8">
        <v>50</v>
      </c>
      <c r="H11" s="8">
        <v>50</v>
      </c>
      <c r="J11" s="9">
        <f t="shared" si="6"/>
        <v>69.545229599999985</v>
      </c>
      <c r="K11" s="9">
        <f t="shared" si="7"/>
        <v>66.647511699999981</v>
      </c>
      <c r="L11" s="9">
        <f t="shared" si="1"/>
        <v>67.781128799999991</v>
      </c>
      <c r="M11" s="9">
        <f t="shared" si="2"/>
        <v>68.940956699999987</v>
      </c>
      <c r="N11" s="9">
        <f t="shared" si="3"/>
        <v>67.071727800000005</v>
      </c>
      <c r="O11" s="9">
        <f t="shared" si="4"/>
        <v>68.212467400000008</v>
      </c>
      <c r="P11" s="5"/>
      <c r="Q11" s="5">
        <v>0.4</v>
      </c>
      <c r="S11" s="10">
        <f>+$H$11*365*24*$Q$11</f>
        <v>175200</v>
      </c>
      <c r="U11" s="51">
        <f>+J11*$S$11</f>
        <v>12184324.225919997</v>
      </c>
      <c r="V11" s="51">
        <f t="shared" ref="V11:Z11" si="11">+K11*$S$11</f>
        <v>11676644.049839996</v>
      </c>
      <c r="W11" s="51">
        <f t="shared" si="11"/>
        <v>11875253.765759999</v>
      </c>
      <c r="X11" s="51">
        <f t="shared" si="11"/>
        <v>12078455.613839997</v>
      </c>
      <c r="Y11" s="51">
        <f t="shared" si="11"/>
        <v>11750966.710560001</v>
      </c>
      <c r="Z11" s="51">
        <f t="shared" si="11"/>
        <v>11950824.288480001</v>
      </c>
    </row>
    <row r="12" spans="1:26" x14ac:dyDescent="0.25">
      <c r="A12" s="8" t="s">
        <v>38</v>
      </c>
      <c r="B12" s="8" t="s">
        <v>39</v>
      </c>
      <c r="C12" s="8" t="s">
        <v>40</v>
      </c>
      <c r="D12" s="8" t="s">
        <v>20</v>
      </c>
      <c r="E12" s="8" t="s">
        <v>21</v>
      </c>
      <c r="F12" s="8">
        <v>58</v>
      </c>
      <c r="G12" s="8">
        <v>100</v>
      </c>
      <c r="H12" s="8">
        <v>100</v>
      </c>
      <c r="J12" s="9">
        <f t="shared" si="6"/>
        <v>70.790159999999986</v>
      </c>
      <c r="K12" s="9">
        <f t="shared" si="7"/>
        <v>67.840569999999985</v>
      </c>
      <c r="L12" s="9">
        <f t="shared" si="1"/>
        <v>68.994479999999982</v>
      </c>
      <c r="M12" s="9">
        <f t="shared" si="2"/>
        <v>70.175069999999991</v>
      </c>
      <c r="N12" s="9">
        <f t="shared" si="3"/>
        <v>68.272380000000013</v>
      </c>
      <c r="O12" s="9">
        <f t="shared" si="4"/>
        <v>69.433540000000008</v>
      </c>
      <c r="P12" s="5"/>
      <c r="Q12" s="5">
        <v>0.4</v>
      </c>
      <c r="S12" s="10">
        <f>+$H$12*365*24*$Q$12</f>
        <v>350400</v>
      </c>
      <c r="U12" s="51">
        <f>+J12*$S$12</f>
        <v>24804872.063999996</v>
      </c>
      <c r="V12" s="51">
        <f t="shared" ref="V12:Z12" si="12">+K12*$S$12</f>
        <v>23771335.727999996</v>
      </c>
      <c r="W12" s="51">
        <f t="shared" si="12"/>
        <v>24175665.791999992</v>
      </c>
      <c r="X12" s="51">
        <f t="shared" si="12"/>
        <v>24589344.527999997</v>
      </c>
      <c r="Y12" s="51">
        <f t="shared" si="12"/>
        <v>23922641.952000003</v>
      </c>
      <c r="Z12" s="51">
        <f t="shared" si="12"/>
        <v>24329512.416000001</v>
      </c>
    </row>
    <row r="13" spans="1:26" x14ac:dyDescent="0.25">
      <c r="A13" s="8" t="s">
        <v>41</v>
      </c>
      <c r="B13" s="8" t="s">
        <v>42</v>
      </c>
      <c r="C13" s="8" t="s">
        <v>43</v>
      </c>
      <c r="D13" s="8" t="s">
        <v>44</v>
      </c>
      <c r="E13" s="8" t="s">
        <v>45</v>
      </c>
      <c r="F13" s="8">
        <v>59</v>
      </c>
      <c r="G13" s="8">
        <v>24.15</v>
      </c>
      <c r="H13" s="8">
        <v>24.15</v>
      </c>
      <c r="J13" s="9">
        <f t="shared" si="6"/>
        <v>72.010679999999994</v>
      </c>
      <c r="K13" s="9">
        <f t="shared" si="7"/>
        <v>69.01023499999998</v>
      </c>
      <c r="L13" s="9">
        <f t="shared" si="1"/>
        <v>70.184039999999996</v>
      </c>
      <c r="M13" s="9">
        <f t="shared" si="2"/>
        <v>71.384985</v>
      </c>
      <c r="N13" s="9">
        <f t="shared" si="3"/>
        <v>69.449490000000011</v>
      </c>
      <c r="O13" s="9">
        <f t="shared" si="4"/>
        <v>70.630670000000009</v>
      </c>
      <c r="P13" s="5"/>
      <c r="Q13" s="5">
        <v>0.4</v>
      </c>
      <c r="S13" s="10">
        <f>+$H$13*365*24*$Q$13</f>
        <v>84621.6</v>
      </c>
      <c r="U13" s="51">
        <f>+J13*$S$13</f>
        <v>6093658.9586880002</v>
      </c>
      <c r="V13" s="51">
        <f t="shared" ref="V13:Z13" si="13">+K13*$S$13</f>
        <v>5839756.502075999</v>
      </c>
      <c r="W13" s="51">
        <f t="shared" si="13"/>
        <v>5939085.7592639998</v>
      </c>
      <c r="X13" s="51">
        <f t="shared" si="13"/>
        <v>6040711.6466760002</v>
      </c>
      <c r="Y13" s="51">
        <f t="shared" si="13"/>
        <v>5876926.9629840013</v>
      </c>
      <c r="Z13" s="51">
        <f t="shared" si="13"/>
        <v>5976880.3044720013</v>
      </c>
    </row>
    <row r="14" spans="1:26" x14ac:dyDescent="0.25">
      <c r="A14" s="8" t="s">
        <v>46</v>
      </c>
      <c r="B14" s="8" t="s">
        <v>47</v>
      </c>
      <c r="C14" s="8" t="s">
        <v>48</v>
      </c>
      <c r="D14" s="8" t="s">
        <v>20</v>
      </c>
      <c r="E14" s="8" t="s">
        <v>49</v>
      </c>
      <c r="F14" s="8">
        <v>61.5</v>
      </c>
      <c r="G14" s="8">
        <v>99</v>
      </c>
      <c r="H14" s="8">
        <v>99</v>
      </c>
      <c r="J14" s="9">
        <f t="shared" si="6"/>
        <v>75.061979999999991</v>
      </c>
      <c r="K14" s="9">
        <f t="shared" si="7"/>
        <v>71.934397499999989</v>
      </c>
      <c r="L14" s="9">
        <f t="shared" si="1"/>
        <v>73.157939999999996</v>
      </c>
      <c r="M14" s="9">
        <f t="shared" si="2"/>
        <v>74.409772500000003</v>
      </c>
      <c r="N14" s="9">
        <f t="shared" si="3"/>
        <v>72.392265000000009</v>
      </c>
      <c r="O14" s="9">
        <f t="shared" si="4"/>
        <v>73.623495000000005</v>
      </c>
      <c r="P14" s="5"/>
      <c r="Q14" s="5">
        <v>0.4</v>
      </c>
      <c r="S14" s="10">
        <f>+$H$14*365*24*$Q$14</f>
        <v>346896</v>
      </c>
      <c r="U14" s="51">
        <f>+J14*$S$14</f>
        <v>26038700.614079997</v>
      </c>
      <c r="V14" s="51">
        <f t="shared" ref="V14:Z14" si="14">+K14*$S$14</f>
        <v>24953754.755159996</v>
      </c>
      <c r="W14" s="51">
        <f t="shared" si="14"/>
        <v>25378196.754239999</v>
      </c>
      <c r="X14" s="51">
        <f t="shared" si="14"/>
        <v>25812452.441160001</v>
      </c>
      <c r="Y14" s="51">
        <f t="shared" si="14"/>
        <v>25112587.159440003</v>
      </c>
      <c r="Z14" s="51">
        <f t="shared" si="14"/>
        <v>25539695.921520002</v>
      </c>
    </row>
    <row r="15" spans="1:26" x14ac:dyDescent="0.25">
      <c r="A15" s="8" t="s">
        <v>50</v>
      </c>
      <c r="B15" s="8" t="s">
        <v>51</v>
      </c>
      <c r="C15" s="8" t="s">
        <v>52</v>
      </c>
      <c r="D15" s="8" t="s">
        <v>44</v>
      </c>
      <c r="E15" s="8" t="s">
        <v>53</v>
      </c>
      <c r="F15" s="8">
        <v>59.41</v>
      </c>
      <c r="G15" s="8">
        <v>24</v>
      </c>
      <c r="H15" s="8">
        <v>24</v>
      </c>
      <c r="J15" s="9">
        <f t="shared" si="6"/>
        <v>72.511093199999976</v>
      </c>
      <c r="K15" s="9">
        <f t="shared" si="7"/>
        <v>69.489797649999986</v>
      </c>
      <c r="L15" s="9">
        <f t="shared" si="1"/>
        <v>70.671759599999987</v>
      </c>
      <c r="M15" s="9">
        <f t="shared" si="2"/>
        <v>71.881050149999993</v>
      </c>
      <c r="N15" s="9">
        <f t="shared" si="3"/>
        <v>69.932105100000001</v>
      </c>
      <c r="O15" s="9">
        <f t="shared" si="4"/>
        <v>71.121493299999997</v>
      </c>
      <c r="P15" s="5"/>
      <c r="Q15" s="5">
        <v>0.4</v>
      </c>
      <c r="S15" s="10">
        <f>+$H$15*365*24*$Q$15</f>
        <v>84096</v>
      </c>
      <c r="U15" s="51">
        <f>+J15*$S$15</f>
        <v>6097892.8937471984</v>
      </c>
      <c r="V15" s="51">
        <f t="shared" ref="V15:Z15" si="15">+K15*$S$15</f>
        <v>5843814.0231743986</v>
      </c>
      <c r="W15" s="51">
        <f t="shared" si="15"/>
        <v>5943212.2953215986</v>
      </c>
      <c r="X15" s="51">
        <f t="shared" si="15"/>
        <v>6044908.793414399</v>
      </c>
      <c r="Y15" s="51">
        <f t="shared" si="15"/>
        <v>5881010.3104896005</v>
      </c>
      <c r="Z15" s="51">
        <f t="shared" si="15"/>
        <v>5981033.1005568001</v>
      </c>
    </row>
    <row r="16" spans="1:26" x14ac:dyDescent="0.25">
      <c r="A16" s="8" t="s">
        <v>54</v>
      </c>
      <c r="B16" s="8" t="s">
        <v>55</v>
      </c>
      <c r="C16" s="8" t="s">
        <v>56</v>
      </c>
      <c r="D16" s="8" t="s">
        <v>57</v>
      </c>
      <c r="E16" s="8" t="s">
        <v>58</v>
      </c>
      <c r="F16" s="8">
        <v>62.88</v>
      </c>
      <c r="G16" s="8">
        <v>97.2</v>
      </c>
      <c r="H16" s="8">
        <v>97.2</v>
      </c>
      <c r="J16" s="9">
        <f t="shared" si="6"/>
        <v>76.746297599999991</v>
      </c>
      <c r="K16" s="9">
        <f t="shared" si="7"/>
        <v>73.548535199999989</v>
      </c>
      <c r="L16" s="9">
        <f t="shared" si="1"/>
        <v>74.799532799999994</v>
      </c>
      <c r="M16" s="9">
        <f t="shared" si="2"/>
        <v>76.079455199999998</v>
      </c>
      <c r="N16" s="9">
        <f t="shared" si="3"/>
        <v>74.016676800000013</v>
      </c>
      <c r="O16" s="9">
        <f t="shared" si="4"/>
        <v>75.275534400000012</v>
      </c>
      <c r="P16" s="5"/>
      <c r="Q16" s="5">
        <v>0.4</v>
      </c>
      <c r="S16" s="10">
        <f>+$H$16*365*24*$Q$16</f>
        <v>340588.80000000005</v>
      </c>
      <c r="U16" s="51">
        <f>+J16*$S$16</f>
        <v>26138929.404026881</v>
      </c>
      <c r="V16" s="51">
        <f t="shared" ref="V16:Z16" si="16">+K16*$S$16</f>
        <v>25049807.34552576</v>
      </c>
      <c r="W16" s="51">
        <f t="shared" si="16"/>
        <v>25475883.116912641</v>
      </c>
      <c r="X16" s="51">
        <f t="shared" si="16"/>
        <v>25911810.351221763</v>
      </c>
      <c r="Y16" s="51">
        <f t="shared" si="16"/>
        <v>25209251.13129985</v>
      </c>
      <c r="Z16" s="51">
        <f t="shared" si="16"/>
        <v>25638003.930654727</v>
      </c>
    </row>
    <row r="17" spans="1:26" x14ac:dyDescent="0.25">
      <c r="A17" s="8" t="s">
        <v>59</v>
      </c>
      <c r="B17" s="8" t="s">
        <v>27</v>
      </c>
      <c r="C17" s="8" t="s">
        <v>60</v>
      </c>
      <c r="D17" s="8" t="s">
        <v>44</v>
      </c>
      <c r="E17" s="8" t="s">
        <v>61</v>
      </c>
      <c r="F17" s="8">
        <v>66</v>
      </c>
      <c r="G17" s="8">
        <v>49.875</v>
      </c>
      <c r="H17" s="8">
        <v>28.35</v>
      </c>
      <c r="J17" s="9">
        <f t="shared" si="6"/>
        <v>80.55431999999999</v>
      </c>
      <c r="K17" s="9">
        <f t="shared" si="7"/>
        <v>77.197889999999987</v>
      </c>
      <c r="L17" s="9">
        <f t="shared" si="1"/>
        <v>78.510959999999997</v>
      </c>
      <c r="M17" s="9">
        <f t="shared" si="2"/>
        <v>79.854389999999995</v>
      </c>
      <c r="N17" s="9">
        <f t="shared" si="3"/>
        <v>77.689260000000019</v>
      </c>
      <c r="O17" s="9">
        <f t="shared" si="4"/>
        <v>79.010580000000019</v>
      </c>
      <c r="P17" s="5"/>
      <c r="Q17" s="5">
        <v>0.4</v>
      </c>
      <c r="S17" s="10">
        <f>+$H$17*365*24*$Q$17</f>
        <v>99338.400000000009</v>
      </c>
      <c r="U17" s="51">
        <f>+J17*$S$17</f>
        <v>8002137.2618879993</v>
      </c>
      <c r="V17" s="51">
        <f t="shared" ref="V17:Z17" si="17">+K17*$S$17</f>
        <v>7668714.875975999</v>
      </c>
      <c r="W17" s="51">
        <f t="shared" si="17"/>
        <v>7799153.1488640001</v>
      </c>
      <c r="X17" s="51">
        <f t="shared" si="17"/>
        <v>7932607.3355760006</v>
      </c>
      <c r="Y17" s="51">
        <f t="shared" si="17"/>
        <v>7717526.7855840027</v>
      </c>
      <c r="Z17" s="51">
        <f t="shared" si="17"/>
        <v>7848784.6002720026</v>
      </c>
    </row>
    <row r="18" spans="1:26" x14ac:dyDescent="0.25">
      <c r="A18" s="8" t="s">
        <v>62</v>
      </c>
      <c r="B18" s="8" t="s">
        <v>63</v>
      </c>
      <c r="C18" s="8" t="s">
        <v>64</v>
      </c>
      <c r="D18" s="8" t="s">
        <v>65</v>
      </c>
      <c r="E18" s="8" t="s">
        <v>66</v>
      </c>
      <c r="F18" s="8">
        <v>67.19</v>
      </c>
      <c r="G18" s="8">
        <v>99.75</v>
      </c>
      <c r="H18" s="8">
        <v>99.75</v>
      </c>
      <c r="J18" s="9">
        <f t="shared" si="6"/>
        <v>82.006738799999994</v>
      </c>
      <c r="K18" s="9">
        <f t="shared" si="7"/>
        <v>78.589791349999985</v>
      </c>
      <c r="L18" s="9">
        <f t="shared" si="1"/>
        <v>79.926536399999989</v>
      </c>
      <c r="M18" s="9">
        <f t="shared" si="2"/>
        <v>81.294188849999998</v>
      </c>
      <c r="N18" s="9">
        <f t="shared" si="3"/>
        <v>79.090020900000013</v>
      </c>
      <c r="O18" s="9">
        <f t="shared" si="4"/>
        <v>80.435164700000016</v>
      </c>
      <c r="P18" s="5"/>
      <c r="Q18" s="5">
        <v>0.4</v>
      </c>
      <c r="S18" s="10">
        <f>+$H$18*365*24*$Q$18</f>
        <v>349524</v>
      </c>
      <c r="U18" s="51">
        <f>+J18*$S$18</f>
        <v>28663323.372331198</v>
      </c>
      <c r="V18" s="51">
        <f t="shared" ref="V18:Z18" si="18">+K18*$S$18</f>
        <v>27469018.231817394</v>
      </c>
      <c r="W18" s="51">
        <f t="shared" si="18"/>
        <v>27936242.708673596</v>
      </c>
      <c r="X18" s="51">
        <f t="shared" si="18"/>
        <v>28414270.063607398</v>
      </c>
      <c r="Y18" s="51">
        <f t="shared" si="18"/>
        <v>27643860.465051606</v>
      </c>
      <c r="Z18" s="51">
        <f t="shared" si="18"/>
        <v>28114020.506602805</v>
      </c>
    </row>
    <row r="19" spans="1:26" x14ac:dyDescent="0.25">
      <c r="H19" s="12">
        <f>SUM(H7:H18)</f>
        <v>707.45</v>
      </c>
      <c r="S19" s="50"/>
      <c r="U19" s="52"/>
      <c r="V19" s="52"/>
      <c r="W19" s="52"/>
      <c r="X19" s="52"/>
      <c r="Y19" s="52"/>
      <c r="Z19" s="52"/>
    </row>
    <row r="20" spans="1:26" ht="24" x14ac:dyDescent="0.25">
      <c r="A20" s="2" t="s">
        <v>2</v>
      </c>
      <c r="B20" s="2" t="s">
        <v>3</v>
      </c>
      <c r="C20" s="2" t="s">
        <v>4</v>
      </c>
      <c r="D20" s="2" t="s">
        <v>5</v>
      </c>
      <c r="E20" s="2" t="s">
        <v>6</v>
      </c>
      <c r="F20" s="2" t="s">
        <v>7</v>
      </c>
      <c r="G20" s="2" t="s">
        <v>8</v>
      </c>
      <c r="H20" s="2" t="s">
        <v>9</v>
      </c>
      <c r="S20" s="50"/>
      <c r="U20" s="52"/>
      <c r="V20" s="52"/>
      <c r="W20" s="52"/>
      <c r="X20" s="52"/>
      <c r="Y20" s="52"/>
      <c r="Z20" s="52"/>
    </row>
    <row r="21" spans="1:26" x14ac:dyDescent="0.25">
      <c r="A21" s="8" t="s">
        <v>67</v>
      </c>
      <c r="B21" s="8" t="s">
        <v>68</v>
      </c>
      <c r="C21" s="8" t="s">
        <v>69</v>
      </c>
      <c r="D21" s="8" t="s">
        <v>70</v>
      </c>
      <c r="E21" s="8" t="s">
        <v>71</v>
      </c>
      <c r="F21" s="8">
        <v>60</v>
      </c>
      <c r="G21" s="8">
        <v>100</v>
      </c>
      <c r="H21" s="8">
        <v>100</v>
      </c>
      <c r="J21" s="9">
        <f>+F21*$C$75*$C$88</f>
        <v>73.231199999999987</v>
      </c>
      <c r="K21" s="9">
        <f>+F21*$C$76*$C$88</f>
        <v>70.179899999999989</v>
      </c>
      <c r="L21" s="9">
        <f>+F21*$C$77*$C$89</f>
        <v>71.373599999999996</v>
      </c>
      <c r="M21" s="9">
        <f>+F21*$C$78*$C$90</f>
        <v>72.594899999999996</v>
      </c>
      <c r="N21" s="9">
        <f>+F21*$C$79*$C$91</f>
        <v>70.626599999999996</v>
      </c>
      <c r="O21" s="9">
        <f>+F21*$C$80*$C$92</f>
        <v>71.827799999999996</v>
      </c>
      <c r="P21" s="5"/>
      <c r="Q21" s="5">
        <v>0.2</v>
      </c>
      <c r="S21" s="10">
        <f>+$H$21*365*24*$Q$21</f>
        <v>175200</v>
      </c>
      <c r="U21" s="51">
        <f>+J21*$S$21</f>
        <v>12830106.239999998</v>
      </c>
      <c r="V21" s="51">
        <f t="shared" ref="V21:Z21" si="19">+K21*$S$21</f>
        <v>12295518.479999999</v>
      </c>
      <c r="W21" s="51">
        <f t="shared" si="19"/>
        <v>12504654.719999999</v>
      </c>
      <c r="X21" s="51">
        <f t="shared" si="19"/>
        <v>12718626.479999999</v>
      </c>
      <c r="Y21" s="51">
        <f t="shared" si="19"/>
        <v>12373780.319999998</v>
      </c>
      <c r="Z21" s="51">
        <f t="shared" si="19"/>
        <v>12584230.559999999</v>
      </c>
    </row>
    <row r="22" spans="1:26" x14ac:dyDescent="0.25">
      <c r="A22" s="8" t="s">
        <v>72</v>
      </c>
      <c r="B22" s="8" t="s">
        <v>68</v>
      </c>
      <c r="C22" s="8" t="s">
        <v>73</v>
      </c>
      <c r="D22" s="8" t="s">
        <v>70</v>
      </c>
      <c r="E22" s="8" t="s">
        <v>71</v>
      </c>
      <c r="F22" s="8">
        <v>60</v>
      </c>
      <c r="G22" s="8">
        <v>100</v>
      </c>
      <c r="H22" s="8">
        <v>100</v>
      </c>
      <c r="J22" s="9">
        <f>+F22*$C$75*$C$88</f>
        <v>73.231199999999987</v>
      </c>
      <c r="K22" s="9">
        <f t="shared" ref="K22:K24" si="20">+F22*$C$76*$C$88</f>
        <v>70.179899999999989</v>
      </c>
      <c r="L22" s="9">
        <f>+F22*$C$77*$C$89</f>
        <v>71.373599999999996</v>
      </c>
      <c r="M22" s="9">
        <f>+F22*$C$78*$C$90</f>
        <v>72.594899999999996</v>
      </c>
      <c r="N22" s="9">
        <f>+F22*$C$79*$C$91</f>
        <v>70.626599999999996</v>
      </c>
      <c r="O22" s="9">
        <f>+F22*$C$80*$C$92</f>
        <v>71.827799999999996</v>
      </c>
      <c r="P22" s="5"/>
      <c r="Q22" s="5">
        <v>0.2</v>
      </c>
      <c r="S22" s="10">
        <f>+$H$22*365*24*$Q$22</f>
        <v>175200</v>
      </c>
      <c r="U22" s="51">
        <f>+J22*$S$22</f>
        <v>12830106.239999998</v>
      </c>
      <c r="V22" s="51">
        <f t="shared" ref="V22:Z22" si="21">+K22*$S$22</f>
        <v>12295518.479999999</v>
      </c>
      <c r="W22" s="51">
        <f t="shared" si="21"/>
        <v>12504654.719999999</v>
      </c>
      <c r="X22" s="51">
        <f t="shared" si="21"/>
        <v>12718626.479999999</v>
      </c>
      <c r="Y22" s="51">
        <f t="shared" si="21"/>
        <v>12373780.319999998</v>
      </c>
      <c r="Z22" s="51">
        <f t="shared" si="21"/>
        <v>12584230.559999999</v>
      </c>
    </row>
    <row r="23" spans="1:26" x14ac:dyDescent="0.25">
      <c r="A23" s="8" t="s">
        <v>74</v>
      </c>
      <c r="B23" s="8" t="s">
        <v>68</v>
      </c>
      <c r="C23" s="8" t="s">
        <v>75</v>
      </c>
      <c r="D23" s="8" t="s">
        <v>70</v>
      </c>
      <c r="E23" s="8" t="s">
        <v>71</v>
      </c>
      <c r="F23" s="8">
        <v>60</v>
      </c>
      <c r="G23" s="8">
        <v>100</v>
      </c>
      <c r="H23" s="8">
        <v>100</v>
      </c>
      <c r="J23" s="9">
        <f>+F23*$C$75*$C$88</f>
        <v>73.231199999999987</v>
      </c>
      <c r="K23" s="9">
        <f t="shared" si="20"/>
        <v>70.179899999999989</v>
      </c>
      <c r="L23" s="9">
        <f>+F23*$C$77*$C$89</f>
        <v>71.373599999999996</v>
      </c>
      <c r="M23" s="9">
        <f>+F23*$C$78*$C$90</f>
        <v>72.594899999999996</v>
      </c>
      <c r="N23" s="9">
        <f>+F23*$C$79*$C$91</f>
        <v>70.626599999999996</v>
      </c>
      <c r="O23" s="9">
        <f>+F23*$C$80*$C$92</f>
        <v>71.827799999999996</v>
      </c>
      <c r="P23" s="5"/>
      <c r="Q23" s="5">
        <v>0.2</v>
      </c>
      <c r="S23" s="10">
        <f>+$H$23*365*24*$Q$23</f>
        <v>175200</v>
      </c>
      <c r="U23" s="51">
        <f>+J23*$S$23</f>
        <v>12830106.239999998</v>
      </c>
      <c r="V23" s="51">
        <f t="shared" ref="V23:Z23" si="22">+K23*$S$23</f>
        <v>12295518.479999999</v>
      </c>
      <c r="W23" s="51">
        <f t="shared" si="22"/>
        <v>12504654.719999999</v>
      </c>
      <c r="X23" s="51">
        <f t="shared" si="22"/>
        <v>12718626.479999999</v>
      </c>
      <c r="Y23" s="51">
        <f t="shared" si="22"/>
        <v>12373780.319999998</v>
      </c>
      <c r="Z23" s="51">
        <f t="shared" si="22"/>
        <v>12584230.559999999</v>
      </c>
    </row>
    <row r="24" spans="1:26" x14ac:dyDescent="0.25">
      <c r="A24" s="8" t="s">
        <v>76</v>
      </c>
      <c r="B24" s="8" t="s">
        <v>77</v>
      </c>
      <c r="C24" s="8" t="s">
        <v>78</v>
      </c>
      <c r="D24" s="8" t="s">
        <v>79</v>
      </c>
      <c r="E24" s="8" t="s">
        <v>80</v>
      </c>
      <c r="F24" s="8">
        <v>58.98</v>
      </c>
      <c r="G24" s="8">
        <v>100</v>
      </c>
      <c r="H24" s="8">
        <v>100</v>
      </c>
      <c r="J24" s="9">
        <f>+F24*$C$75*$C$88</f>
        <v>71.986269599999986</v>
      </c>
      <c r="K24" s="9">
        <f t="shared" si="20"/>
        <v>68.986841699999985</v>
      </c>
      <c r="L24" s="9">
        <f>+F24*$C$77*$C$89</f>
        <v>70.160248799999991</v>
      </c>
      <c r="M24" s="9">
        <f>+F24*$C$78*$C$90</f>
        <v>71.360786700000006</v>
      </c>
      <c r="N24" s="9">
        <f>+F24*$C$79*$C$91</f>
        <v>69.425947800000003</v>
      </c>
      <c r="O24" s="9">
        <f>+F24*$C$80*$C$92</f>
        <v>70.606727399999997</v>
      </c>
      <c r="P24" s="5"/>
      <c r="Q24" s="5">
        <v>0.2</v>
      </c>
      <c r="S24" s="10">
        <f>+$H$24*365*24*$Q$24</f>
        <v>175200</v>
      </c>
      <c r="U24" s="51">
        <f>+J24*$S$24</f>
        <v>12611994.433919998</v>
      </c>
      <c r="V24" s="51">
        <f t="shared" ref="V24:Z24" si="23">+K24*$S$24</f>
        <v>12086494.665839998</v>
      </c>
      <c r="W24" s="51">
        <f t="shared" si="23"/>
        <v>12292075.589759998</v>
      </c>
      <c r="X24" s="51">
        <f t="shared" si="23"/>
        <v>12502409.829840001</v>
      </c>
      <c r="Y24" s="51">
        <f t="shared" si="23"/>
        <v>12163426.05456</v>
      </c>
      <c r="Z24" s="51">
        <f t="shared" si="23"/>
        <v>12370298.640479999</v>
      </c>
    </row>
    <row r="25" spans="1:26" x14ac:dyDescent="0.25">
      <c r="H25" s="12">
        <f>SUM(H21:H24)</f>
        <v>400</v>
      </c>
      <c r="S25" s="50"/>
      <c r="U25" s="52"/>
      <c r="V25" s="52"/>
      <c r="W25" s="52"/>
      <c r="X25" s="52"/>
      <c r="Y25" s="52"/>
      <c r="Z25" s="52"/>
    </row>
    <row r="26" spans="1:26" x14ac:dyDescent="0.25">
      <c r="S26" s="50"/>
      <c r="U26" s="52"/>
      <c r="V26" s="52"/>
      <c r="W26" s="52"/>
      <c r="X26" s="52"/>
      <c r="Y26" s="52"/>
      <c r="Z26" s="52"/>
    </row>
    <row r="27" spans="1:26" x14ac:dyDescent="0.25">
      <c r="A27" s="101" t="s">
        <v>81</v>
      </c>
      <c r="B27" s="102"/>
      <c r="S27" s="50"/>
      <c r="U27" s="52"/>
      <c r="V27" s="52"/>
      <c r="W27" s="52"/>
      <c r="X27" s="52"/>
      <c r="Y27" s="52"/>
      <c r="Z27" s="52"/>
    </row>
    <row r="28" spans="1:26" ht="24" x14ac:dyDescent="0.25">
      <c r="A28" s="106" t="s">
        <v>82</v>
      </c>
      <c r="B28" s="106"/>
      <c r="C28" s="2" t="s">
        <v>4</v>
      </c>
      <c r="D28" s="2" t="s">
        <v>5</v>
      </c>
      <c r="E28" s="2" t="s">
        <v>6</v>
      </c>
      <c r="F28" s="2" t="s">
        <v>7</v>
      </c>
      <c r="G28" s="2" t="s">
        <v>8</v>
      </c>
      <c r="H28" s="2" t="s">
        <v>9</v>
      </c>
      <c r="S28" s="50"/>
      <c r="U28" s="52"/>
      <c r="V28" s="52"/>
      <c r="W28" s="52"/>
      <c r="X28" s="52"/>
      <c r="Y28" s="52"/>
      <c r="Z28" s="52"/>
    </row>
    <row r="29" spans="1:26" x14ac:dyDescent="0.25">
      <c r="A29" s="106"/>
      <c r="B29" s="106"/>
      <c r="C29" s="8" t="s">
        <v>83</v>
      </c>
      <c r="D29" s="8" t="s">
        <v>20</v>
      </c>
      <c r="E29" s="8"/>
      <c r="F29" s="8">
        <v>49.81</v>
      </c>
      <c r="G29" s="8">
        <v>100</v>
      </c>
      <c r="H29" s="8">
        <v>100</v>
      </c>
      <c r="J29" s="9">
        <f t="shared" ref="J29:J38" si="24">+F29*$C$75*$C$88</f>
        <v>60.794101199999993</v>
      </c>
      <c r="K29" s="9">
        <f>+F29*$C$76*$C$88</f>
        <v>58.261013649999995</v>
      </c>
      <c r="L29" s="9">
        <f t="shared" ref="L29:L38" si="25">+F29*$C$77*$C$89</f>
        <v>59.251983600000003</v>
      </c>
      <c r="M29" s="9">
        <f t="shared" ref="M29:M38" si="26">+F29*$C$78*$C$90</f>
        <v>60.265866150000001</v>
      </c>
      <c r="N29" s="9">
        <f t="shared" ref="N29:N38" si="27">+F29*$C$79*$C$91</f>
        <v>58.631849100000004</v>
      </c>
      <c r="O29" s="9">
        <f t="shared" ref="O29:O38" si="28">+F29*$C$80*$C$92</f>
        <v>59.629045300000008</v>
      </c>
      <c r="P29" s="5"/>
      <c r="Q29" s="5">
        <v>0.4</v>
      </c>
      <c r="S29" s="10">
        <f>+$H$29*365*24*$Q$29</f>
        <v>350400</v>
      </c>
      <c r="U29" s="51">
        <f>+J29*$S$29</f>
        <v>21302253.060479999</v>
      </c>
      <c r="V29" s="51">
        <f t="shared" ref="V29:Z29" si="29">+K29*$S$29</f>
        <v>20414659.18296</v>
      </c>
      <c r="W29" s="51">
        <f t="shared" si="29"/>
        <v>20761895.053440001</v>
      </c>
      <c r="X29" s="51">
        <f t="shared" si="29"/>
        <v>21117159.49896</v>
      </c>
      <c r="Y29" s="51">
        <f t="shared" si="29"/>
        <v>20544599.92464</v>
      </c>
      <c r="Z29" s="51">
        <f t="shared" si="29"/>
        <v>20894017.473120004</v>
      </c>
    </row>
    <row r="30" spans="1:26" x14ac:dyDescent="0.25">
      <c r="A30" s="106"/>
      <c r="B30" s="106"/>
      <c r="C30" s="8" t="s">
        <v>84</v>
      </c>
      <c r="D30" s="8" t="s">
        <v>20</v>
      </c>
      <c r="E30" s="8"/>
      <c r="F30" s="8">
        <v>49.08</v>
      </c>
      <c r="G30" s="8">
        <v>38</v>
      </c>
      <c r="H30" s="8">
        <v>38</v>
      </c>
      <c r="J30" s="9">
        <f t="shared" si="24"/>
        <v>59.903121599999984</v>
      </c>
      <c r="K30" s="9">
        <f t="shared" ref="K30:K38" si="30">+F30*$C$76*$C$88</f>
        <v>57.407158199999984</v>
      </c>
      <c r="L30" s="9">
        <f t="shared" si="25"/>
        <v>58.383604799999993</v>
      </c>
      <c r="M30" s="9">
        <f t="shared" si="26"/>
        <v>59.382628199999992</v>
      </c>
      <c r="N30" s="9">
        <f t="shared" si="27"/>
        <v>57.772558799999999</v>
      </c>
      <c r="O30" s="9">
        <f t="shared" si="28"/>
        <v>58.755140400000002</v>
      </c>
      <c r="P30" s="5"/>
      <c r="Q30" s="5">
        <v>0.4</v>
      </c>
      <c r="S30" s="10">
        <f>+$H$30*365*24*$Q$30</f>
        <v>133152</v>
      </c>
      <c r="U30" s="51">
        <f>+J30*$S$30</f>
        <v>7976220.4472831981</v>
      </c>
      <c r="V30" s="51">
        <f t="shared" ref="V30:Z30" si="31">+K30*$S$30</f>
        <v>7643877.9286463978</v>
      </c>
      <c r="W30" s="51">
        <f t="shared" si="31"/>
        <v>7773893.7463295991</v>
      </c>
      <c r="X30" s="51">
        <f t="shared" si="31"/>
        <v>7906915.7100863988</v>
      </c>
      <c r="Y30" s="51">
        <f t="shared" si="31"/>
        <v>7692531.7493375996</v>
      </c>
      <c r="Z30" s="51">
        <f t="shared" si="31"/>
        <v>7823364.4545408003</v>
      </c>
    </row>
    <row r="31" spans="1:26" x14ac:dyDescent="0.25">
      <c r="A31" s="106"/>
      <c r="B31" s="106"/>
      <c r="C31" s="8" t="s">
        <v>85</v>
      </c>
      <c r="D31" s="8" t="s">
        <v>20</v>
      </c>
      <c r="E31" s="8"/>
      <c r="F31" s="8">
        <v>54.96</v>
      </c>
      <c r="G31" s="8">
        <v>98</v>
      </c>
      <c r="H31" s="8">
        <v>98</v>
      </c>
      <c r="J31" s="9">
        <f t="shared" si="24"/>
        <v>67.07977919999999</v>
      </c>
      <c r="K31" s="9">
        <f t="shared" si="30"/>
        <v>64.284788399999982</v>
      </c>
      <c r="L31" s="9">
        <f t="shared" si="25"/>
        <v>65.378217599999999</v>
      </c>
      <c r="M31" s="9">
        <f t="shared" si="26"/>
        <v>66.496928400000002</v>
      </c>
      <c r="N31" s="9">
        <f t="shared" si="27"/>
        <v>64.693965600000013</v>
      </c>
      <c r="O31" s="9">
        <f t="shared" si="28"/>
        <v>65.794264800000008</v>
      </c>
      <c r="P31" s="5"/>
      <c r="Q31" s="5">
        <v>0.4</v>
      </c>
      <c r="S31" s="10">
        <f>+$H$31*365*24*$Q$31</f>
        <v>343392</v>
      </c>
      <c r="U31" s="51">
        <f>+J31*$S$31</f>
        <v>23034659.539046396</v>
      </c>
      <c r="V31" s="51">
        <f t="shared" ref="V31:Z31" si="32">+K31*$S$31</f>
        <v>22074882.058252793</v>
      </c>
      <c r="W31" s="51">
        <f t="shared" si="32"/>
        <v>22450356.898099199</v>
      </c>
      <c r="X31" s="51">
        <f t="shared" si="32"/>
        <v>22834513.237132799</v>
      </c>
      <c r="Y31" s="51">
        <f t="shared" si="32"/>
        <v>22215390.235315204</v>
      </c>
      <c r="Z31" s="51">
        <f t="shared" si="32"/>
        <v>22593224.178201601</v>
      </c>
    </row>
    <row r="32" spans="1:26" x14ac:dyDescent="0.25">
      <c r="A32" s="106"/>
      <c r="B32" s="106"/>
      <c r="C32" s="8" t="s">
        <v>86</v>
      </c>
      <c r="D32" s="8" t="s">
        <v>87</v>
      </c>
      <c r="E32" s="8"/>
      <c r="F32" s="8">
        <v>53.88</v>
      </c>
      <c r="G32" s="8">
        <v>37</v>
      </c>
      <c r="H32" s="8">
        <v>37</v>
      </c>
      <c r="J32" s="9">
        <f t="shared" si="24"/>
        <v>65.761617599999994</v>
      </c>
      <c r="K32" s="9">
        <f t="shared" si="30"/>
        <v>63.021550199999993</v>
      </c>
      <c r="L32" s="9">
        <f t="shared" si="25"/>
        <v>64.093492799999993</v>
      </c>
      <c r="M32" s="9">
        <f t="shared" si="26"/>
        <v>65.190220199999999</v>
      </c>
      <c r="N32" s="9">
        <f t="shared" si="27"/>
        <v>63.422686800000008</v>
      </c>
      <c r="O32" s="9">
        <f t="shared" si="28"/>
        <v>64.501364400000014</v>
      </c>
      <c r="P32" s="5"/>
      <c r="Q32" s="5">
        <v>0.4</v>
      </c>
      <c r="S32" s="10">
        <f>+$H$32*365*24*$Q$32</f>
        <v>129648</v>
      </c>
      <c r="U32" s="51">
        <f>+J32*$S$32</f>
        <v>8525862.1986047998</v>
      </c>
      <c r="V32" s="51">
        <f t="shared" ref="V32:Z32" si="33">+K32*$S$32</f>
        <v>8170617.9403295992</v>
      </c>
      <c r="W32" s="51">
        <f t="shared" si="33"/>
        <v>8309593.1545343995</v>
      </c>
      <c r="X32" s="51">
        <f t="shared" si="33"/>
        <v>8451781.6684895996</v>
      </c>
      <c r="Y32" s="51">
        <f t="shared" si="33"/>
        <v>8222624.4982464006</v>
      </c>
      <c r="Z32" s="51">
        <f t="shared" si="33"/>
        <v>8362472.8917312017</v>
      </c>
    </row>
    <row r="33" spans="1:26" x14ac:dyDescent="0.25">
      <c r="A33" s="106"/>
      <c r="B33" s="106"/>
      <c r="C33" s="8" t="s">
        <v>88</v>
      </c>
      <c r="D33" s="8" t="s">
        <v>36</v>
      </c>
      <c r="E33" s="8"/>
      <c r="F33" s="8">
        <v>56.98</v>
      </c>
      <c r="G33" s="8">
        <v>100</v>
      </c>
      <c r="H33" s="8">
        <v>100</v>
      </c>
      <c r="J33" s="9">
        <f t="shared" si="24"/>
        <v>69.545229599999985</v>
      </c>
      <c r="K33" s="9">
        <f t="shared" si="30"/>
        <v>66.647511699999981</v>
      </c>
      <c r="L33" s="9">
        <f t="shared" si="25"/>
        <v>67.781128799999991</v>
      </c>
      <c r="M33" s="9">
        <f t="shared" si="26"/>
        <v>68.940956699999987</v>
      </c>
      <c r="N33" s="9">
        <f t="shared" si="27"/>
        <v>67.071727800000005</v>
      </c>
      <c r="O33" s="9">
        <f t="shared" si="28"/>
        <v>68.212467400000008</v>
      </c>
      <c r="P33" s="5"/>
      <c r="Q33" s="5">
        <v>0.4</v>
      </c>
      <c r="S33" s="10">
        <f>+$H$33*365*24*$Q$33</f>
        <v>350400</v>
      </c>
      <c r="U33" s="51">
        <f>+J33*$S$33</f>
        <v>24368648.451839995</v>
      </c>
      <c r="V33" s="51">
        <f t="shared" ref="V33:Z33" si="34">+K33*$S$33</f>
        <v>23353288.099679992</v>
      </c>
      <c r="W33" s="51">
        <f t="shared" si="34"/>
        <v>23750507.531519998</v>
      </c>
      <c r="X33" s="51">
        <f t="shared" si="34"/>
        <v>24156911.227679994</v>
      </c>
      <c r="Y33" s="51">
        <f t="shared" si="34"/>
        <v>23501933.421120003</v>
      </c>
      <c r="Z33" s="51">
        <f t="shared" si="34"/>
        <v>23901648.576960001</v>
      </c>
    </row>
    <row r="34" spans="1:26" x14ac:dyDescent="0.25">
      <c r="A34" s="106"/>
      <c r="B34" s="106"/>
      <c r="C34" s="8" t="s">
        <v>89</v>
      </c>
      <c r="D34" s="8" t="s">
        <v>57</v>
      </c>
      <c r="E34" s="8"/>
      <c r="F34" s="8">
        <v>58</v>
      </c>
      <c r="G34" s="8">
        <v>100</v>
      </c>
      <c r="H34" s="8">
        <v>100</v>
      </c>
      <c r="J34" s="9">
        <f t="shared" si="24"/>
        <v>70.790159999999986</v>
      </c>
      <c r="K34" s="9">
        <f t="shared" si="30"/>
        <v>67.840569999999985</v>
      </c>
      <c r="L34" s="9">
        <f t="shared" si="25"/>
        <v>68.994479999999982</v>
      </c>
      <c r="M34" s="9">
        <f t="shared" si="26"/>
        <v>70.175069999999991</v>
      </c>
      <c r="N34" s="9">
        <f t="shared" si="27"/>
        <v>68.272380000000013</v>
      </c>
      <c r="O34" s="9">
        <f t="shared" si="28"/>
        <v>69.433540000000008</v>
      </c>
      <c r="P34" s="5"/>
      <c r="Q34" s="5">
        <v>0.4</v>
      </c>
      <c r="S34" s="10">
        <f>+$H$34*365*24*$Q$34</f>
        <v>350400</v>
      </c>
      <c r="U34" s="51">
        <f>+J34*$S$34</f>
        <v>24804872.063999996</v>
      </c>
      <c r="V34" s="51">
        <f t="shared" ref="V34:Z34" si="35">+K34*$S$34</f>
        <v>23771335.727999996</v>
      </c>
      <c r="W34" s="51">
        <f t="shared" si="35"/>
        <v>24175665.791999992</v>
      </c>
      <c r="X34" s="51">
        <f t="shared" si="35"/>
        <v>24589344.527999997</v>
      </c>
      <c r="Y34" s="51">
        <f t="shared" si="35"/>
        <v>23922641.952000003</v>
      </c>
      <c r="Z34" s="51">
        <f t="shared" si="35"/>
        <v>24329512.416000001</v>
      </c>
    </row>
    <row r="35" spans="1:26" x14ac:dyDescent="0.25">
      <c r="A35" s="106"/>
      <c r="B35" s="106"/>
      <c r="C35" s="8" t="s">
        <v>90</v>
      </c>
      <c r="D35" s="8" t="s">
        <v>44</v>
      </c>
      <c r="E35" s="8"/>
      <c r="F35" s="8">
        <v>59</v>
      </c>
      <c r="G35" s="8">
        <v>100</v>
      </c>
      <c r="H35" s="8">
        <v>100</v>
      </c>
      <c r="J35" s="9">
        <f t="shared" si="24"/>
        <v>72.010679999999994</v>
      </c>
      <c r="K35" s="9">
        <f t="shared" si="30"/>
        <v>69.01023499999998</v>
      </c>
      <c r="L35" s="9">
        <f t="shared" si="25"/>
        <v>70.184039999999996</v>
      </c>
      <c r="M35" s="9">
        <f t="shared" si="26"/>
        <v>71.384985</v>
      </c>
      <c r="N35" s="9">
        <f t="shared" si="27"/>
        <v>69.449490000000011</v>
      </c>
      <c r="O35" s="9">
        <f t="shared" si="28"/>
        <v>70.630670000000009</v>
      </c>
      <c r="P35" s="5"/>
      <c r="Q35" s="5">
        <v>0.4</v>
      </c>
      <c r="S35" s="10">
        <f>+$H$35*365*24*$Q$35</f>
        <v>350400</v>
      </c>
      <c r="U35" s="51">
        <f>+J35*$S$35</f>
        <v>25232542.271999996</v>
      </c>
      <c r="V35" s="51">
        <f t="shared" ref="V35:Z35" si="36">+K35*$S$35</f>
        <v>24181186.343999993</v>
      </c>
      <c r="W35" s="51">
        <f t="shared" si="36"/>
        <v>24592487.616</v>
      </c>
      <c r="X35" s="51">
        <f t="shared" si="36"/>
        <v>25013298.743999999</v>
      </c>
      <c r="Y35" s="51">
        <f t="shared" si="36"/>
        <v>24335101.296000004</v>
      </c>
      <c r="Z35" s="51">
        <f t="shared" si="36"/>
        <v>24748986.768000003</v>
      </c>
    </row>
    <row r="36" spans="1:26" x14ac:dyDescent="0.25">
      <c r="A36" s="106"/>
      <c r="B36" s="106"/>
      <c r="C36" s="8" t="s">
        <v>91</v>
      </c>
      <c r="D36" s="8" t="s">
        <v>92</v>
      </c>
      <c r="E36" s="8"/>
      <c r="F36" s="8">
        <v>61.5</v>
      </c>
      <c r="G36" s="8">
        <v>50</v>
      </c>
      <c r="H36" s="8">
        <v>50</v>
      </c>
      <c r="J36" s="9">
        <f t="shared" si="24"/>
        <v>75.061979999999991</v>
      </c>
      <c r="K36" s="9">
        <f t="shared" si="30"/>
        <v>71.934397499999989</v>
      </c>
      <c r="L36" s="9">
        <f t="shared" si="25"/>
        <v>73.157939999999996</v>
      </c>
      <c r="M36" s="9">
        <f t="shared" si="26"/>
        <v>74.409772500000003</v>
      </c>
      <c r="N36" s="9">
        <f t="shared" si="27"/>
        <v>72.392265000000009</v>
      </c>
      <c r="O36" s="9">
        <f t="shared" si="28"/>
        <v>73.623495000000005</v>
      </c>
      <c r="P36" s="5"/>
      <c r="Q36" s="5">
        <v>0.4</v>
      </c>
      <c r="S36" s="10">
        <f>+$H$36*365*24*$Q$36</f>
        <v>175200</v>
      </c>
      <c r="U36" s="51">
        <f>+J36*$S$36</f>
        <v>13150858.895999998</v>
      </c>
      <c r="V36" s="51">
        <f t="shared" ref="V36:Z36" si="37">+K36*$S$36</f>
        <v>12602906.441999998</v>
      </c>
      <c r="W36" s="51">
        <f t="shared" si="37"/>
        <v>12817271.088</v>
      </c>
      <c r="X36" s="51">
        <f t="shared" si="37"/>
        <v>13036592.142000001</v>
      </c>
      <c r="Y36" s="51">
        <f t="shared" si="37"/>
        <v>12683124.828000002</v>
      </c>
      <c r="Z36" s="51">
        <f t="shared" si="37"/>
        <v>12898836.324000001</v>
      </c>
    </row>
    <row r="37" spans="1:26" x14ac:dyDescent="0.25">
      <c r="A37" s="106"/>
      <c r="B37" s="106"/>
      <c r="C37" s="8" t="s">
        <v>93</v>
      </c>
      <c r="D37" s="8" t="s">
        <v>65</v>
      </c>
      <c r="E37" s="8"/>
      <c r="F37" s="8">
        <v>59.41</v>
      </c>
      <c r="G37" s="8">
        <v>95</v>
      </c>
      <c r="H37" s="8">
        <v>95</v>
      </c>
      <c r="J37" s="9">
        <f t="shared" si="24"/>
        <v>72.511093199999976</v>
      </c>
      <c r="K37" s="9">
        <f t="shared" si="30"/>
        <v>69.489797649999986</v>
      </c>
      <c r="L37" s="9">
        <f t="shared" si="25"/>
        <v>70.671759599999987</v>
      </c>
      <c r="M37" s="9">
        <f t="shared" si="26"/>
        <v>71.881050149999993</v>
      </c>
      <c r="N37" s="9">
        <f t="shared" si="27"/>
        <v>69.932105100000001</v>
      </c>
      <c r="O37" s="9">
        <f t="shared" si="28"/>
        <v>71.121493299999997</v>
      </c>
      <c r="P37" s="5"/>
      <c r="Q37" s="5">
        <v>0.4</v>
      </c>
      <c r="S37" s="10">
        <f>+$H$37*365*24*$Q$37</f>
        <v>332880</v>
      </c>
      <c r="U37" s="51">
        <f>+J37*$S$37</f>
        <v>24137492.704415992</v>
      </c>
      <c r="V37" s="51">
        <f t="shared" ref="V37:Z37" si="38">+K37*$S$37</f>
        <v>23131763.841731995</v>
      </c>
      <c r="W37" s="51">
        <f t="shared" si="38"/>
        <v>23525215.335647997</v>
      </c>
      <c r="X37" s="51">
        <f t="shared" si="38"/>
        <v>23927763.973931998</v>
      </c>
      <c r="Y37" s="51">
        <f t="shared" si="38"/>
        <v>23278999.145688001</v>
      </c>
      <c r="Z37" s="51">
        <f t="shared" si="38"/>
        <v>23674922.689704001</v>
      </c>
    </row>
    <row r="38" spans="1:26" x14ac:dyDescent="0.25">
      <c r="A38" s="106"/>
      <c r="B38" s="106"/>
      <c r="C38" s="8" t="s">
        <v>94</v>
      </c>
      <c r="D38" s="8" t="s">
        <v>95</v>
      </c>
      <c r="E38" s="8"/>
      <c r="F38" s="8">
        <v>62.88</v>
      </c>
      <c r="G38" s="8">
        <v>48</v>
      </c>
      <c r="H38" s="8">
        <v>48</v>
      </c>
      <c r="J38" s="9">
        <f t="shared" si="24"/>
        <v>76.746297599999991</v>
      </c>
      <c r="K38" s="9">
        <f t="shared" si="30"/>
        <v>73.548535199999989</v>
      </c>
      <c r="L38" s="9">
        <f t="shared" si="25"/>
        <v>74.799532799999994</v>
      </c>
      <c r="M38" s="9">
        <f t="shared" si="26"/>
        <v>76.079455199999998</v>
      </c>
      <c r="N38" s="9">
        <f t="shared" si="27"/>
        <v>74.016676800000013</v>
      </c>
      <c r="O38" s="9">
        <f t="shared" si="28"/>
        <v>75.275534400000012</v>
      </c>
      <c r="P38" s="5"/>
      <c r="Q38" s="5">
        <v>0.4</v>
      </c>
      <c r="S38" s="10">
        <f>+$H$38*365*24*$Q$38</f>
        <v>168192</v>
      </c>
      <c r="U38" s="51">
        <f>+J38*$S$38</f>
        <v>12908113.285939198</v>
      </c>
      <c r="V38" s="51">
        <f t="shared" ref="V38:Z38" si="39">+K38*$S$38</f>
        <v>12370275.232358398</v>
      </c>
      <c r="W38" s="51">
        <f t="shared" si="39"/>
        <v>12580683.020697599</v>
      </c>
      <c r="X38" s="51">
        <f t="shared" si="39"/>
        <v>12795955.7289984</v>
      </c>
      <c r="Y38" s="51">
        <f t="shared" si="39"/>
        <v>12449012.904345602</v>
      </c>
      <c r="Z38" s="51">
        <f t="shared" si="39"/>
        <v>12660742.681804802</v>
      </c>
    </row>
    <row r="39" spans="1:26" x14ac:dyDescent="0.25">
      <c r="H39" s="13">
        <f>SUM(H29:H38)</f>
        <v>766</v>
      </c>
      <c r="S39" s="50"/>
      <c r="U39" s="52"/>
      <c r="V39" s="52"/>
      <c r="W39" s="52"/>
      <c r="X39" s="52"/>
      <c r="Y39" s="52"/>
      <c r="Z39" s="52"/>
    </row>
    <row r="40" spans="1:26" x14ac:dyDescent="0.25">
      <c r="A40" s="106" t="s">
        <v>96</v>
      </c>
      <c r="B40" s="106"/>
      <c r="C40" s="8" t="s">
        <v>97</v>
      </c>
      <c r="D40" s="8" t="s">
        <v>92</v>
      </c>
      <c r="E40" s="8"/>
      <c r="F40" s="8">
        <v>49.81</v>
      </c>
      <c r="G40" s="8">
        <v>21</v>
      </c>
      <c r="H40" s="8">
        <v>21</v>
      </c>
      <c r="J40" s="9">
        <f t="shared" ref="J40:J50" si="40">+F40*$C$75*$C$88</f>
        <v>60.794101199999993</v>
      </c>
      <c r="K40" s="9">
        <f>+F40*$C$76*$C$88</f>
        <v>58.261013649999995</v>
      </c>
      <c r="L40" s="9">
        <f t="shared" ref="L40:L50" si="41">+F40*$C$77*$C$89</f>
        <v>59.251983600000003</v>
      </c>
      <c r="M40" s="9">
        <f t="shared" ref="M40:M50" si="42">+F40*$C$78*$C$90</f>
        <v>60.265866150000001</v>
      </c>
      <c r="N40" s="9">
        <f t="shared" ref="N40:N50" si="43">+F40*$C$79*$C$91</f>
        <v>58.631849100000004</v>
      </c>
      <c r="O40" s="9">
        <f t="shared" ref="O40:O50" si="44">+F40*$C$80*$C$92</f>
        <v>59.629045300000008</v>
      </c>
      <c r="P40" s="5"/>
      <c r="Q40" s="5">
        <v>0.2</v>
      </c>
      <c r="S40" s="10">
        <f>+$H$40*365*24*$Q$40</f>
        <v>36792</v>
      </c>
      <c r="U40" s="51">
        <f>+J40*$S$40</f>
        <v>2236736.5713503999</v>
      </c>
      <c r="V40" s="51">
        <f t="shared" ref="V40:Z40" si="45">+K40*$S$40</f>
        <v>2143539.2142107999</v>
      </c>
      <c r="W40" s="51">
        <f t="shared" si="45"/>
        <v>2179998.9806112</v>
      </c>
      <c r="X40" s="51">
        <f t="shared" si="45"/>
        <v>2217301.7473908002</v>
      </c>
      <c r="Y40" s="51">
        <f t="shared" si="45"/>
        <v>2157182.9920872003</v>
      </c>
      <c r="Z40" s="51">
        <f t="shared" si="45"/>
        <v>2193871.8346776003</v>
      </c>
    </row>
    <row r="41" spans="1:26" x14ac:dyDescent="0.25">
      <c r="A41" s="106"/>
      <c r="B41" s="106"/>
      <c r="C41" s="8" t="s">
        <v>98</v>
      </c>
      <c r="D41" s="8" t="s">
        <v>92</v>
      </c>
      <c r="E41" s="8"/>
      <c r="F41" s="8">
        <v>49.08</v>
      </c>
      <c r="G41" s="8">
        <v>18</v>
      </c>
      <c r="H41" s="8">
        <v>18</v>
      </c>
      <c r="J41" s="9">
        <f t="shared" si="40"/>
        <v>59.903121599999984</v>
      </c>
      <c r="K41" s="9">
        <f t="shared" ref="K41:K50" si="46">+F41*$C$76*$C$88</f>
        <v>57.407158199999984</v>
      </c>
      <c r="L41" s="9">
        <f t="shared" si="41"/>
        <v>58.383604799999993</v>
      </c>
      <c r="M41" s="9">
        <f t="shared" si="42"/>
        <v>59.382628199999992</v>
      </c>
      <c r="N41" s="9">
        <f t="shared" si="43"/>
        <v>57.772558799999999</v>
      </c>
      <c r="O41" s="9">
        <f t="shared" si="44"/>
        <v>58.755140400000002</v>
      </c>
      <c r="P41" s="5"/>
      <c r="Q41" s="5">
        <v>0.2</v>
      </c>
      <c r="S41" s="10">
        <f>+$H$41*365*24*$Q$41</f>
        <v>31536</v>
      </c>
      <c r="U41" s="51">
        <f>+J41*$S$41</f>
        <v>1889104.8427775996</v>
      </c>
      <c r="V41" s="51">
        <f t="shared" ref="V41:Z41" si="47">+K41*$S$41</f>
        <v>1810392.1409951996</v>
      </c>
      <c r="W41" s="51">
        <f t="shared" si="47"/>
        <v>1841185.3609727998</v>
      </c>
      <c r="X41" s="51">
        <f t="shared" si="47"/>
        <v>1872690.5629151997</v>
      </c>
      <c r="Y41" s="51">
        <f t="shared" si="47"/>
        <v>1821915.4143168</v>
      </c>
      <c r="Z41" s="51">
        <f t="shared" si="47"/>
        <v>1852902.1076544002</v>
      </c>
    </row>
    <row r="42" spans="1:26" x14ac:dyDescent="0.25">
      <c r="A42" s="106"/>
      <c r="B42" s="106"/>
      <c r="C42" s="8" t="s">
        <v>99</v>
      </c>
      <c r="D42" s="8" t="s">
        <v>92</v>
      </c>
      <c r="E42" s="8"/>
      <c r="F42" s="8">
        <v>54.96</v>
      </c>
      <c r="G42" s="8">
        <v>14</v>
      </c>
      <c r="H42" s="8">
        <v>14</v>
      </c>
      <c r="J42" s="9">
        <f t="shared" si="40"/>
        <v>67.07977919999999</v>
      </c>
      <c r="K42" s="9">
        <f t="shared" si="46"/>
        <v>64.284788399999982</v>
      </c>
      <c r="L42" s="9">
        <f t="shared" si="41"/>
        <v>65.378217599999999</v>
      </c>
      <c r="M42" s="9">
        <f t="shared" si="42"/>
        <v>66.496928400000002</v>
      </c>
      <c r="N42" s="9">
        <f t="shared" si="43"/>
        <v>64.693965600000013</v>
      </c>
      <c r="O42" s="9">
        <f t="shared" si="44"/>
        <v>65.794264800000008</v>
      </c>
      <c r="P42" s="5"/>
      <c r="Q42" s="5">
        <v>0.2</v>
      </c>
      <c r="S42" s="10">
        <f>+$H$42*365*24*$Q$42</f>
        <v>24528</v>
      </c>
      <c r="U42" s="51">
        <f>+J42*$S$42</f>
        <v>1645332.8242175998</v>
      </c>
      <c r="V42" s="51">
        <f t="shared" ref="V42:Z42" si="48">+K42*$S$42</f>
        <v>1576777.2898751996</v>
      </c>
      <c r="W42" s="51">
        <f t="shared" si="48"/>
        <v>1603596.9212928</v>
      </c>
      <c r="X42" s="51">
        <f t="shared" si="48"/>
        <v>1631036.6597952</v>
      </c>
      <c r="Y42" s="51">
        <f t="shared" si="48"/>
        <v>1586813.5882368004</v>
      </c>
      <c r="Z42" s="51">
        <f t="shared" si="48"/>
        <v>1613801.7270144003</v>
      </c>
    </row>
    <row r="43" spans="1:26" x14ac:dyDescent="0.25">
      <c r="A43" s="106"/>
      <c r="B43" s="106"/>
      <c r="C43" s="8" t="s">
        <v>100</v>
      </c>
      <c r="D43" s="8" t="s">
        <v>92</v>
      </c>
      <c r="E43" s="8"/>
      <c r="F43" s="8">
        <v>53.88</v>
      </c>
      <c r="G43" s="8">
        <v>18</v>
      </c>
      <c r="H43" s="8">
        <v>18</v>
      </c>
      <c r="J43" s="9">
        <f t="shared" si="40"/>
        <v>65.761617599999994</v>
      </c>
      <c r="K43" s="9">
        <f t="shared" si="46"/>
        <v>63.021550199999993</v>
      </c>
      <c r="L43" s="9">
        <f t="shared" si="41"/>
        <v>64.093492799999993</v>
      </c>
      <c r="M43" s="9">
        <f t="shared" si="42"/>
        <v>65.190220199999999</v>
      </c>
      <c r="N43" s="9">
        <f t="shared" si="43"/>
        <v>63.422686800000008</v>
      </c>
      <c r="O43" s="9">
        <f t="shared" si="44"/>
        <v>64.501364400000014</v>
      </c>
      <c r="P43" s="5"/>
      <c r="Q43" s="5">
        <v>0.2</v>
      </c>
      <c r="S43" s="10">
        <f>+$H$43*365*24*$Q$43</f>
        <v>31536</v>
      </c>
      <c r="U43" s="51">
        <f>+J43*$S$43</f>
        <v>2073858.3726335999</v>
      </c>
      <c r="V43" s="51">
        <f t="shared" ref="V43:Z43" si="49">+K43*$S$43</f>
        <v>1987447.6071071997</v>
      </c>
      <c r="W43" s="51">
        <f t="shared" si="49"/>
        <v>2021252.3889407997</v>
      </c>
      <c r="X43" s="51">
        <f t="shared" si="49"/>
        <v>2055838.7842271999</v>
      </c>
      <c r="Y43" s="51">
        <f t="shared" si="49"/>
        <v>2000097.8509248002</v>
      </c>
      <c r="Z43" s="51">
        <f t="shared" si="49"/>
        <v>2034115.0277184003</v>
      </c>
    </row>
    <row r="44" spans="1:26" x14ac:dyDescent="0.25">
      <c r="A44" s="106"/>
      <c r="B44" s="106"/>
      <c r="C44" s="8" t="s">
        <v>101</v>
      </c>
      <c r="D44" s="8" t="s">
        <v>92</v>
      </c>
      <c r="E44" s="8"/>
      <c r="F44" s="8">
        <v>56.98</v>
      </c>
      <c r="G44" s="8">
        <v>22</v>
      </c>
      <c r="H44" s="8">
        <v>22</v>
      </c>
      <c r="J44" s="9">
        <f t="shared" si="40"/>
        <v>69.545229599999985</v>
      </c>
      <c r="K44" s="9">
        <f t="shared" si="46"/>
        <v>66.647511699999981</v>
      </c>
      <c r="L44" s="9">
        <f t="shared" si="41"/>
        <v>67.781128799999991</v>
      </c>
      <c r="M44" s="9">
        <f t="shared" si="42"/>
        <v>68.940956699999987</v>
      </c>
      <c r="N44" s="9">
        <f t="shared" si="43"/>
        <v>67.071727800000005</v>
      </c>
      <c r="O44" s="9">
        <f t="shared" si="44"/>
        <v>68.212467400000008</v>
      </c>
      <c r="P44" s="5"/>
      <c r="Q44" s="5">
        <v>0.2</v>
      </c>
      <c r="S44" s="10">
        <f>+$H$44*365*24*$Q$44</f>
        <v>38544</v>
      </c>
      <c r="U44" s="51">
        <f>+J44*$S$44</f>
        <v>2680551.3297023992</v>
      </c>
      <c r="V44" s="51">
        <f t="shared" ref="V44:Z44" si="50">+K44*$S$44</f>
        <v>2568861.6909647994</v>
      </c>
      <c r="W44" s="51">
        <f t="shared" si="50"/>
        <v>2612555.8284671996</v>
      </c>
      <c r="X44" s="51">
        <f t="shared" si="50"/>
        <v>2657260.2350447993</v>
      </c>
      <c r="Y44" s="51">
        <f t="shared" si="50"/>
        <v>2585212.6763232001</v>
      </c>
      <c r="Z44" s="51">
        <f t="shared" si="50"/>
        <v>2629181.3434656002</v>
      </c>
    </row>
    <row r="45" spans="1:26" x14ac:dyDescent="0.25">
      <c r="A45" s="106"/>
      <c r="B45" s="106"/>
      <c r="C45" s="8" t="s">
        <v>102</v>
      </c>
      <c r="D45" s="8" t="s">
        <v>92</v>
      </c>
      <c r="E45" s="8"/>
      <c r="F45" s="8">
        <v>58</v>
      </c>
      <c r="G45" s="8">
        <v>1</v>
      </c>
      <c r="H45" s="8">
        <v>1</v>
      </c>
      <c r="J45" s="9">
        <f t="shared" si="40"/>
        <v>70.790159999999986</v>
      </c>
      <c r="K45" s="9">
        <f t="shared" si="46"/>
        <v>67.840569999999985</v>
      </c>
      <c r="L45" s="9">
        <f t="shared" si="41"/>
        <v>68.994479999999982</v>
      </c>
      <c r="M45" s="9">
        <f t="shared" si="42"/>
        <v>70.175069999999991</v>
      </c>
      <c r="N45" s="9">
        <f t="shared" si="43"/>
        <v>68.272380000000013</v>
      </c>
      <c r="O45" s="9">
        <f t="shared" si="44"/>
        <v>69.433540000000008</v>
      </c>
      <c r="P45" s="5"/>
      <c r="Q45" s="5">
        <v>0.2</v>
      </c>
      <c r="S45" s="10">
        <f>+$H$45*365*24*$Q$45</f>
        <v>1752</v>
      </c>
      <c r="U45" s="51">
        <f>+J45*$S$45</f>
        <v>124024.36031999998</v>
      </c>
      <c r="V45" s="51">
        <f t="shared" ref="V45:Z45" si="51">+K45*$S$45</f>
        <v>118856.67863999997</v>
      </c>
      <c r="W45" s="51">
        <f t="shared" si="51"/>
        <v>120878.32895999997</v>
      </c>
      <c r="X45" s="51">
        <f t="shared" si="51"/>
        <v>122946.72263999998</v>
      </c>
      <c r="Y45" s="51">
        <f t="shared" si="51"/>
        <v>119613.20976000003</v>
      </c>
      <c r="Z45" s="51">
        <f t="shared" si="51"/>
        <v>121647.56208000002</v>
      </c>
    </row>
    <row r="46" spans="1:26" x14ac:dyDescent="0.25">
      <c r="A46" s="106"/>
      <c r="B46" s="106"/>
      <c r="C46" s="8" t="s">
        <v>103</v>
      </c>
      <c r="D46" s="8" t="s">
        <v>104</v>
      </c>
      <c r="E46" s="8"/>
      <c r="F46" s="8">
        <v>59</v>
      </c>
      <c r="G46" s="8">
        <v>23</v>
      </c>
      <c r="H46" s="8">
        <v>23</v>
      </c>
      <c r="J46" s="9">
        <f t="shared" si="40"/>
        <v>72.010679999999994</v>
      </c>
      <c r="K46" s="9">
        <f t="shared" si="46"/>
        <v>69.01023499999998</v>
      </c>
      <c r="L46" s="9">
        <f t="shared" si="41"/>
        <v>70.184039999999996</v>
      </c>
      <c r="M46" s="9">
        <f t="shared" si="42"/>
        <v>71.384985</v>
      </c>
      <c r="N46" s="9">
        <f t="shared" si="43"/>
        <v>69.449490000000011</v>
      </c>
      <c r="O46" s="9">
        <f t="shared" si="44"/>
        <v>70.630670000000009</v>
      </c>
      <c r="P46" s="5"/>
      <c r="Q46" s="5">
        <v>0.2</v>
      </c>
      <c r="S46" s="10">
        <f>+$H$46*365*24*$Q$46</f>
        <v>40296</v>
      </c>
      <c r="U46" s="51">
        <f>+J46*$S$46</f>
        <v>2901742.3612799998</v>
      </c>
      <c r="V46" s="51">
        <f t="shared" ref="V46:Z46" si="52">+K46*$S$46</f>
        <v>2780836.4295599991</v>
      </c>
      <c r="W46" s="51">
        <f t="shared" si="52"/>
        <v>2828136.0758400001</v>
      </c>
      <c r="X46" s="51">
        <f t="shared" si="52"/>
        <v>2876529.3555600001</v>
      </c>
      <c r="Y46" s="51">
        <f t="shared" si="52"/>
        <v>2798536.6490400005</v>
      </c>
      <c r="Z46" s="51">
        <f t="shared" si="52"/>
        <v>2846133.4783200002</v>
      </c>
    </row>
    <row r="47" spans="1:26" x14ac:dyDescent="0.25">
      <c r="A47" s="106"/>
      <c r="B47" s="106"/>
      <c r="C47" s="8" t="s">
        <v>105</v>
      </c>
      <c r="D47" s="8" t="s">
        <v>104</v>
      </c>
      <c r="E47" s="8"/>
      <c r="F47" s="8">
        <v>61.5</v>
      </c>
      <c r="G47" s="8">
        <v>15</v>
      </c>
      <c r="H47" s="8">
        <v>15</v>
      </c>
      <c r="J47" s="9">
        <f t="shared" si="40"/>
        <v>75.061979999999991</v>
      </c>
      <c r="K47" s="9">
        <f t="shared" si="46"/>
        <v>71.934397499999989</v>
      </c>
      <c r="L47" s="9">
        <f t="shared" si="41"/>
        <v>73.157939999999996</v>
      </c>
      <c r="M47" s="9">
        <f t="shared" si="42"/>
        <v>74.409772500000003</v>
      </c>
      <c r="N47" s="9">
        <f t="shared" si="43"/>
        <v>72.392265000000009</v>
      </c>
      <c r="O47" s="9">
        <f t="shared" si="44"/>
        <v>73.623495000000005</v>
      </c>
      <c r="P47" s="5"/>
      <c r="Q47" s="5">
        <v>0.2</v>
      </c>
      <c r="S47" s="10">
        <f>+$H$47*365*24*$Q$47</f>
        <v>26280</v>
      </c>
      <c r="U47" s="51">
        <f>+J47*$S$47</f>
        <v>1972628.8343999998</v>
      </c>
      <c r="V47" s="51">
        <f t="shared" ref="V47:Z47" si="53">+K47*$S$47</f>
        <v>1890435.9662999997</v>
      </c>
      <c r="W47" s="51">
        <f t="shared" si="53"/>
        <v>1922590.6631999998</v>
      </c>
      <c r="X47" s="51">
        <f t="shared" si="53"/>
        <v>1955488.8213</v>
      </c>
      <c r="Y47" s="51">
        <f t="shared" si="53"/>
        <v>1902468.7242000003</v>
      </c>
      <c r="Z47" s="51">
        <f t="shared" si="53"/>
        <v>1934825.4486000002</v>
      </c>
    </row>
    <row r="48" spans="1:26" x14ac:dyDescent="0.25">
      <c r="A48" s="106"/>
      <c r="B48" s="106"/>
      <c r="C48" s="8" t="s">
        <v>106</v>
      </c>
      <c r="D48" s="8" t="s">
        <v>104</v>
      </c>
      <c r="E48" s="8"/>
      <c r="F48" s="8">
        <v>59.41</v>
      </c>
      <c r="G48" s="8">
        <v>11</v>
      </c>
      <c r="H48" s="8">
        <v>11</v>
      </c>
      <c r="J48" s="9">
        <f t="shared" si="40"/>
        <v>72.511093199999976</v>
      </c>
      <c r="K48" s="9">
        <f t="shared" si="46"/>
        <v>69.489797649999986</v>
      </c>
      <c r="L48" s="9">
        <f t="shared" si="41"/>
        <v>70.671759599999987</v>
      </c>
      <c r="M48" s="9">
        <f t="shared" si="42"/>
        <v>71.881050149999993</v>
      </c>
      <c r="N48" s="9">
        <f t="shared" si="43"/>
        <v>69.932105100000001</v>
      </c>
      <c r="O48" s="9">
        <f t="shared" si="44"/>
        <v>71.121493299999997</v>
      </c>
      <c r="P48" s="5"/>
      <c r="Q48" s="5">
        <v>0.2</v>
      </c>
      <c r="S48" s="10">
        <f>+$H$48*365*24*$Q$48</f>
        <v>19272</v>
      </c>
      <c r="U48" s="51">
        <f>+J48*$S$48</f>
        <v>1397433.7881503995</v>
      </c>
      <c r="V48" s="51">
        <f t="shared" ref="V48:Z48" si="54">+K48*$S$48</f>
        <v>1339207.3803107997</v>
      </c>
      <c r="W48" s="51">
        <f t="shared" si="54"/>
        <v>1361986.1510111997</v>
      </c>
      <c r="X48" s="51">
        <f t="shared" si="54"/>
        <v>1385291.5984907998</v>
      </c>
      <c r="Y48" s="51">
        <f t="shared" si="54"/>
        <v>1347731.5294872001</v>
      </c>
      <c r="Z48" s="51">
        <f t="shared" si="54"/>
        <v>1370653.4188776</v>
      </c>
    </row>
    <row r="49" spans="1:26" x14ac:dyDescent="0.25">
      <c r="A49" s="106"/>
      <c r="B49" s="106"/>
      <c r="C49" s="8" t="s">
        <v>107</v>
      </c>
      <c r="D49" s="8" t="s">
        <v>79</v>
      </c>
      <c r="E49" s="8"/>
      <c r="F49" s="8">
        <v>56.28</v>
      </c>
      <c r="G49" s="8">
        <v>80</v>
      </c>
      <c r="H49" s="8">
        <v>80</v>
      </c>
      <c r="J49" s="9">
        <f t="shared" si="40"/>
        <v>68.690865599999995</v>
      </c>
      <c r="K49" s="9">
        <f t="shared" si="46"/>
        <v>65.828746199999983</v>
      </c>
      <c r="L49" s="9">
        <f t="shared" si="41"/>
        <v>66.948436799999996</v>
      </c>
      <c r="M49" s="9">
        <f t="shared" si="42"/>
        <v>68.094016199999999</v>
      </c>
      <c r="N49" s="9">
        <f t="shared" si="43"/>
        <v>66.247750800000006</v>
      </c>
      <c r="O49" s="9">
        <f t="shared" si="44"/>
        <v>67.374476400000006</v>
      </c>
      <c r="P49" s="5"/>
      <c r="Q49" s="5">
        <v>0.2</v>
      </c>
      <c r="S49" s="10">
        <f>+$H$49*365*24*$Q$49</f>
        <v>140160</v>
      </c>
      <c r="U49" s="51">
        <f>+J49*$S$49</f>
        <v>9627711.7224959992</v>
      </c>
      <c r="V49" s="51">
        <f t="shared" ref="V49:Z49" si="55">+K49*$S$49</f>
        <v>9226557.0673919972</v>
      </c>
      <c r="W49" s="51">
        <f t="shared" si="55"/>
        <v>9383492.9018879998</v>
      </c>
      <c r="X49" s="51">
        <f t="shared" si="55"/>
        <v>9544057.3105919994</v>
      </c>
      <c r="Y49" s="51">
        <f t="shared" si="55"/>
        <v>9285284.7521280013</v>
      </c>
      <c r="Z49" s="51">
        <f t="shared" si="55"/>
        <v>9443206.6122240014</v>
      </c>
    </row>
    <row r="50" spans="1:26" x14ac:dyDescent="0.25">
      <c r="A50" s="106"/>
      <c r="B50" s="106"/>
      <c r="C50" s="8" t="s">
        <v>108</v>
      </c>
      <c r="D50" s="8" t="s">
        <v>65</v>
      </c>
      <c r="E50" s="8"/>
      <c r="F50" s="8">
        <v>62.88</v>
      </c>
      <c r="G50" s="8">
        <v>35</v>
      </c>
      <c r="H50" s="8">
        <v>35</v>
      </c>
      <c r="J50" s="9">
        <f t="shared" si="40"/>
        <v>76.746297599999991</v>
      </c>
      <c r="K50" s="9">
        <f t="shared" si="46"/>
        <v>73.548535199999989</v>
      </c>
      <c r="L50" s="9">
        <f t="shared" si="41"/>
        <v>74.799532799999994</v>
      </c>
      <c r="M50" s="9">
        <f t="shared" si="42"/>
        <v>76.079455199999998</v>
      </c>
      <c r="N50" s="9">
        <f t="shared" si="43"/>
        <v>74.016676800000013</v>
      </c>
      <c r="O50" s="9">
        <f t="shared" si="44"/>
        <v>75.275534400000012</v>
      </c>
      <c r="P50" s="5"/>
      <c r="Q50" s="5">
        <v>0.2</v>
      </c>
      <c r="S50" s="10">
        <f>+$H$50*365*24*$Q$50</f>
        <v>61320</v>
      </c>
      <c r="U50" s="51">
        <f>+J50*$S$50</f>
        <v>4706082.9688319992</v>
      </c>
      <c r="V50" s="51">
        <f t="shared" ref="V50:Z50" si="56">+K50*$S$50</f>
        <v>4509996.1784639992</v>
      </c>
      <c r="W50" s="51">
        <f t="shared" si="56"/>
        <v>4586707.3512959993</v>
      </c>
      <c r="X50" s="51">
        <f t="shared" si="56"/>
        <v>4665192.1928639999</v>
      </c>
      <c r="Y50" s="51">
        <f t="shared" si="56"/>
        <v>4538702.6213760013</v>
      </c>
      <c r="Z50" s="51">
        <f t="shared" si="56"/>
        <v>4615895.7694080006</v>
      </c>
    </row>
    <row r="51" spans="1:26" x14ac:dyDescent="0.25">
      <c r="H51" s="13">
        <f>SUM(H40:H50)</f>
        <v>258</v>
      </c>
      <c r="S51" s="50"/>
      <c r="U51" s="52"/>
      <c r="V51" s="52"/>
      <c r="W51" s="52"/>
      <c r="X51" s="52"/>
      <c r="Y51" s="52"/>
      <c r="Z51" s="52"/>
    </row>
    <row r="52" spans="1:26" x14ac:dyDescent="0.25">
      <c r="S52" s="50"/>
      <c r="U52" s="52"/>
      <c r="V52" s="52"/>
      <c r="W52" s="52"/>
      <c r="X52" s="52"/>
      <c r="Y52" s="52"/>
      <c r="Z52" s="52"/>
    </row>
    <row r="53" spans="1:26" x14ac:dyDescent="0.25">
      <c r="A53" s="101" t="s">
        <v>109</v>
      </c>
      <c r="B53" s="102"/>
      <c r="S53" s="50"/>
      <c r="U53" s="52"/>
      <c r="V53" s="52"/>
      <c r="W53" s="52"/>
      <c r="X53" s="52"/>
      <c r="Y53" s="52"/>
      <c r="Z53" s="52"/>
    </row>
    <row r="54" spans="1:26" ht="24" x14ac:dyDescent="0.25">
      <c r="A54" s="106"/>
      <c r="B54" s="106"/>
      <c r="C54" s="2" t="s">
        <v>4</v>
      </c>
      <c r="D54" s="2" t="s">
        <v>5</v>
      </c>
      <c r="E54" s="2" t="s">
        <v>6</v>
      </c>
      <c r="F54" s="2" t="s">
        <v>7</v>
      </c>
      <c r="G54" s="2" t="s">
        <v>8</v>
      </c>
      <c r="H54" s="2" t="s">
        <v>9</v>
      </c>
      <c r="S54" s="50"/>
      <c r="U54" s="52"/>
      <c r="V54" s="52"/>
      <c r="W54" s="52"/>
      <c r="X54" s="52"/>
      <c r="Y54" s="52"/>
      <c r="Z54" s="52"/>
    </row>
    <row r="55" spans="1:26" x14ac:dyDescent="0.25">
      <c r="A55" s="106"/>
      <c r="B55" s="106"/>
      <c r="C55" s="8" t="s">
        <v>110</v>
      </c>
      <c r="D55" s="8" t="s">
        <v>111</v>
      </c>
      <c r="E55" s="8"/>
      <c r="F55" s="8">
        <v>92.45</v>
      </c>
      <c r="G55" s="8">
        <v>45</v>
      </c>
      <c r="H55" s="8">
        <v>45</v>
      </c>
      <c r="J55" s="9">
        <f>+F55*$C$75*$C$88</f>
        <v>112.83707399999999</v>
      </c>
      <c r="K55" s="9">
        <f>+F55*$C$76*$C$88</f>
        <v>108.13552924999999</v>
      </c>
      <c r="L55" s="9">
        <f t="shared" ref="L55:L64" si="57">+F55*$C$77*$C$89</f>
        <v>109.97482199999999</v>
      </c>
      <c r="M55" s="9">
        <f t="shared" ref="M55:M64" si="58">+F55*$C$78*$C$90</f>
        <v>111.85664174999999</v>
      </c>
      <c r="N55" s="9">
        <f t="shared" ref="N55:N64" si="59">+F55*$C$79*$C$91</f>
        <v>108.82381950000001</v>
      </c>
      <c r="O55" s="9">
        <f t="shared" ref="O55:O64" si="60">+F55*$C$80*$C$92</f>
        <v>110.67466850000001</v>
      </c>
      <c r="Q55" s="14">
        <v>0.25</v>
      </c>
      <c r="S55" s="10">
        <f>+$H$55*365*24*$Q$55</f>
        <v>98550</v>
      </c>
      <c r="U55" s="51">
        <f>+J55*$S$55</f>
        <v>11120093.642699998</v>
      </c>
      <c r="V55" s="51">
        <f t="shared" ref="V55:Y55" si="61">+K55*$S$55</f>
        <v>10656756.407587498</v>
      </c>
      <c r="W55" s="51">
        <f t="shared" si="61"/>
        <v>10838018.708099999</v>
      </c>
      <c r="X55" s="51">
        <f t="shared" si="61"/>
        <v>11023472.0444625</v>
      </c>
      <c r="Y55" s="51">
        <f t="shared" si="61"/>
        <v>10724587.411725001</v>
      </c>
      <c r="Z55" s="51">
        <f>+O55*$S$55</f>
        <v>10906988.580675</v>
      </c>
    </row>
    <row r="56" spans="1:26" x14ac:dyDescent="0.25">
      <c r="A56" s="106"/>
      <c r="B56" s="106"/>
      <c r="C56" s="15" t="s">
        <v>112</v>
      </c>
      <c r="D56" s="8" t="s">
        <v>113</v>
      </c>
      <c r="E56" s="8"/>
      <c r="F56" s="8">
        <v>58.98</v>
      </c>
      <c r="G56" s="8">
        <v>5</v>
      </c>
      <c r="H56" s="8">
        <v>5</v>
      </c>
      <c r="J56" s="9">
        <f t="shared" ref="J56:J64" si="62">+F56*$C$75*$C$88</f>
        <v>71.986269599999986</v>
      </c>
      <c r="K56" s="9">
        <f t="shared" ref="K56:K64" si="63">+F56*$C$76*$C$88</f>
        <v>68.986841699999985</v>
      </c>
      <c r="L56" s="9">
        <f t="shared" si="57"/>
        <v>70.160248799999991</v>
      </c>
      <c r="M56" s="9">
        <f t="shared" si="58"/>
        <v>71.360786700000006</v>
      </c>
      <c r="N56" s="9">
        <f t="shared" si="59"/>
        <v>69.425947800000003</v>
      </c>
      <c r="O56" s="9">
        <f t="shared" si="60"/>
        <v>70.606727399999997</v>
      </c>
      <c r="Q56" s="14">
        <v>0.2</v>
      </c>
      <c r="S56" s="10">
        <f>+$H$56*365*24*$Q$56</f>
        <v>8760</v>
      </c>
      <c r="U56" s="51">
        <f>+J56*$S$56</f>
        <v>630599.72169599985</v>
      </c>
      <c r="V56" s="51">
        <f t="shared" ref="V56:Z56" si="64">+K56*$S$56</f>
        <v>604324.7332919999</v>
      </c>
      <c r="W56" s="51">
        <f t="shared" si="64"/>
        <v>614603.77948799997</v>
      </c>
      <c r="X56" s="51">
        <f t="shared" si="64"/>
        <v>625120.49149200006</v>
      </c>
      <c r="Y56" s="51">
        <f t="shared" si="64"/>
        <v>608171.30272799998</v>
      </c>
      <c r="Z56" s="51">
        <f t="shared" si="64"/>
        <v>618514.93202399998</v>
      </c>
    </row>
    <row r="57" spans="1:26" x14ac:dyDescent="0.25">
      <c r="A57" s="106"/>
      <c r="B57" s="106"/>
      <c r="C57" s="15" t="s">
        <v>114</v>
      </c>
      <c r="D57" s="8" t="s">
        <v>113</v>
      </c>
      <c r="E57" s="8"/>
      <c r="F57" s="8">
        <v>58.98</v>
      </c>
      <c r="G57" s="8">
        <v>5</v>
      </c>
      <c r="H57" s="8">
        <v>5</v>
      </c>
      <c r="J57" s="9">
        <f t="shared" si="62"/>
        <v>71.986269599999986</v>
      </c>
      <c r="K57" s="9">
        <f t="shared" si="63"/>
        <v>68.986841699999985</v>
      </c>
      <c r="L57" s="9">
        <f t="shared" si="57"/>
        <v>70.160248799999991</v>
      </c>
      <c r="M57" s="9">
        <f t="shared" si="58"/>
        <v>71.360786700000006</v>
      </c>
      <c r="N57" s="9">
        <f t="shared" si="59"/>
        <v>69.425947800000003</v>
      </c>
      <c r="O57" s="9">
        <f t="shared" si="60"/>
        <v>70.606727399999997</v>
      </c>
      <c r="Q57" s="14">
        <v>0.2</v>
      </c>
      <c r="S57" s="10">
        <f>+$H$57*365*24*$Q$57</f>
        <v>8760</v>
      </c>
      <c r="U57" s="51">
        <f>+J57*$S$57</f>
        <v>630599.72169599985</v>
      </c>
      <c r="V57" s="51">
        <f t="shared" ref="V57:Z57" si="65">+K57*$S$57</f>
        <v>604324.7332919999</v>
      </c>
      <c r="W57" s="51">
        <f t="shared" si="65"/>
        <v>614603.77948799997</v>
      </c>
      <c r="X57" s="51">
        <f t="shared" si="65"/>
        <v>625120.49149200006</v>
      </c>
      <c r="Y57" s="51">
        <f t="shared" si="65"/>
        <v>608171.30272799998</v>
      </c>
      <c r="Z57" s="51">
        <f t="shared" si="65"/>
        <v>618514.93202399998</v>
      </c>
    </row>
    <row r="58" spans="1:26" x14ac:dyDescent="0.25">
      <c r="A58" s="106"/>
      <c r="B58" s="106"/>
      <c r="C58" s="15" t="s">
        <v>115</v>
      </c>
      <c r="D58" s="8" t="s">
        <v>44</v>
      </c>
      <c r="E58" s="8"/>
      <c r="F58" s="8">
        <v>76.23</v>
      </c>
      <c r="G58" s="8">
        <v>70</v>
      </c>
      <c r="H58" s="8">
        <v>70</v>
      </c>
      <c r="J58" s="9">
        <f t="shared" si="62"/>
        <v>93.040239599999992</v>
      </c>
      <c r="K58" s="9">
        <f t="shared" si="63"/>
        <v>89.163562949999999</v>
      </c>
      <c r="L58" s="9">
        <f t="shared" si="57"/>
        <v>90.680158800000001</v>
      </c>
      <c r="M58" s="9">
        <f t="shared" si="58"/>
        <v>92.231820450000001</v>
      </c>
      <c r="N58" s="9">
        <f t="shared" si="59"/>
        <v>89.731095300000007</v>
      </c>
      <c r="O58" s="9">
        <f t="shared" si="60"/>
        <v>91.25721990000001</v>
      </c>
      <c r="Q58" s="14">
        <v>0.4</v>
      </c>
      <c r="S58" s="10">
        <f>+$H$58*365*24*$Q$58</f>
        <v>245280</v>
      </c>
      <c r="U58" s="51">
        <f>+J58*$S$58</f>
        <v>22820909.969087999</v>
      </c>
      <c r="V58" s="51">
        <f t="shared" ref="V58:Z58" si="66">+K58*$S$58</f>
        <v>21870038.720376</v>
      </c>
      <c r="W58" s="51">
        <f t="shared" si="66"/>
        <v>22242029.350464001</v>
      </c>
      <c r="X58" s="51">
        <f>+M58*$S$58</f>
        <v>22622620.919976</v>
      </c>
      <c r="Y58" s="51">
        <f t="shared" si="66"/>
        <v>22009243.055184003</v>
      </c>
      <c r="Z58" s="51">
        <f t="shared" si="66"/>
        <v>22383570.897072002</v>
      </c>
    </row>
    <row r="59" spans="1:26" x14ac:dyDescent="0.25">
      <c r="A59" s="106"/>
      <c r="B59" s="106"/>
      <c r="C59" s="15" t="s">
        <v>116</v>
      </c>
      <c r="D59" s="8" t="s">
        <v>44</v>
      </c>
      <c r="E59" s="8"/>
      <c r="F59" s="8">
        <v>76.23</v>
      </c>
      <c r="G59" s="8">
        <v>150</v>
      </c>
      <c r="H59" s="8">
        <v>150</v>
      </c>
      <c r="J59" s="9">
        <f t="shared" si="62"/>
        <v>93.040239599999992</v>
      </c>
      <c r="K59" s="9">
        <f t="shared" si="63"/>
        <v>89.163562949999999</v>
      </c>
      <c r="L59" s="9">
        <f t="shared" si="57"/>
        <v>90.680158800000001</v>
      </c>
      <c r="M59" s="9">
        <f t="shared" si="58"/>
        <v>92.231820450000001</v>
      </c>
      <c r="N59" s="9">
        <f t="shared" si="59"/>
        <v>89.731095300000007</v>
      </c>
      <c r="O59" s="9">
        <f t="shared" si="60"/>
        <v>91.25721990000001</v>
      </c>
      <c r="Q59" s="14">
        <v>0.4</v>
      </c>
      <c r="S59" s="10">
        <f>+$H$59*365*24*$Q$59</f>
        <v>525600</v>
      </c>
      <c r="U59" s="51">
        <f>+J59*$S$59</f>
        <v>48901949.933759995</v>
      </c>
      <c r="V59" s="51">
        <f t="shared" ref="V59:Z59" si="67">+K59*$S$59</f>
        <v>46864368.686520003</v>
      </c>
      <c r="W59" s="51">
        <f t="shared" si="67"/>
        <v>47661491.465280004</v>
      </c>
      <c r="X59" s="51">
        <f t="shared" si="67"/>
        <v>48477044.82852</v>
      </c>
      <c r="Y59" s="51">
        <f t="shared" si="67"/>
        <v>47162663.689680003</v>
      </c>
      <c r="Z59" s="51">
        <f t="shared" si="67"/>
        <v>47964794.779440008</v>
      </c>
    </row>
    <row r="60" spans="1:26" x14ac:dyDescent="0.25">
      <c r="A60" s="106"/>
      <c r="B60" s="106"/>
      <c r="C60" s="15" t="s">
        <v>117</v>
      </c>
      <c r="D60" s="8" t="s">
        <v>57</v>
      </c>
      <c r="E60" s="8"/>
      <c r="F60" s="8">
        <v>72.33</v>
      </c>
      <c r="G60" s="8">
        <v>25</v>
      </c>
      <c r="H60" s="8">
        <v>25</v>
      </c>
      <c r="J60" s="9">
        <f t="shared" si="62"/>
        <v>88.280211599999987</v>
      </c>
      <c r="K60" s="9">
        <f t="shared" si="63"/>
        <v>84.601869449999981</v>
      </c>
      <c r="L60" s="9">
        <f t="shared" si="57"/>
        <v>86.040874799999983</v>
      </c>
      <c r="M60" s="9">
        <f t="shared" si="58"/>
        <v>87.513151949999994</v>
      </c>
      <c r="N60" s="9">
        <f t="shared" si="59"/>
        <v>85.140366300000011</v>
      </c>
      <c r="O60" s="9">
        <f t="shared" si="60"/>
        <v>86.588412900000009</v>
      </c>
      <c r="Q60" s="14">
        <v>0.4</v>
      </c>
      <c r="S60" s="10">
        <f>+$H$60*365*24*$Q$60</f>
        <v>87600</v>
      </c>
      <c r="U60" s="51">
        <f>+J60*$S$60</f>
        <v>7733346.5361599987</v>
      </c>
      <c r="V60" s="51">
        <f t="shared" ref="V60:Z60" si="68">+K60*$S$60</f>
        <v>7411123.7638199981</v>
      </c>
      <c r="W60" s="51">
        <f t="shared" si="68"/>
        <v>7537180.6324799983</v>
      </c>
      <c r="X60" s="51">
        <f t="shared" si="68"/>
        <v>7666152.1108199991</v>
      </c>
      <c r="Y60" s="51">
        <f t="shared" si="68"/>
        <v>7458296.0878800014</v>
      </c>
      <c r="Z60" s="51">
        <f t="shared" si="68"/>
        <v>7585144.970040001</v>
      </c>
    </row>
    <row r="61" spans="1:26" x14ac:dyDescent="0.25">
      <c r="A61" s="106"/>
      <c r="B61" s="106"/>
      <c r="C61" s="15" t="s">
        <v>118</v>
      </c>
      <c r="D61" s="8" t="s">
        <v>44</v>
      </c>
      <c r="E61" s="8"/>
      <c r="F61" s="8">
        <v>72.33</v>
      </c>
      <c r="G61" s="8">
        <v>50</v>
      </c>
      <c r="H61" s="8">
        <v>50</v>
      </c>
      <c r="J61" s="9">
        <f t="shared" si="62"/>
        <v>88.280211599999987</v>
      </c>
      <c r="K61" s="9">
        <f t="shared" si="63"/>
        <v>84.601869449999981</v>
      </c>
      <c r="L61" s="9">
        <f t="shared" si="57"/>
        <v>86.040874799999983</v>
      </c>
      <c r="M61" s="9">
        <f t="shared" si="58"/>
        <v>87.513151949999994</v>
      </c>
      <c r="N61" s="9">
        <f t="shared" si="59"/>
        <v>85.140366300000011</v>
      </c>
      <c r="O61" s="9">
        <f t="shared" si="60"/>
        <v>86.588412900000009</v>
      </c>
      <c r="Q61" s="14">
        <v>0.4</v>
      </c>
      <c r="S61" s="10">
        <f>+$H$61*365*24*$Q$61</f>
        <v>175200</v>
      </c>
      <c r="U61" s="51">
        <f>+J61*$S$61</f>
        <v>15466693.072319997</v>
      </c>
      <c r="V61" s="51">
        <f t="shared" ref="V61:Z61" si="69">+K61*$S$61</f>
        <v>14822247.527639996</v>
      </c>
      <c r="W61" s="51">
        <f t="shared" si="69"/>
        <v>15074361.264959997</v>
      </c>
      <c r="X61" s="51">
        <f t="shared" si="69"/>
        <v>15332304.221639998</v>
      </c>
      <c r="Y61" s="51">
        <f t="shared" si="69"/>
        <v>14916592.175760003</v>
      </c>
      <c r="Z61" s="51">
        <f t="shared" si="69"/>
        <v>15170289.940080002</v>
      </c>
    </row>
    <row r="62" spans="1:26" x14ac:dyDescent="0.25">
      <c r="A62" s="106"/>
      <c r="B62" s="106"/>
      <c r="C62" s="15" t="s">
        <v>119</v>
      </c>
      <c r="D62" s="8" t="s">
        <v>44</v>
      </c>
      <c r="E62" s="8"/>
      <c r="F62" s="8">
        <v>76.23</v>
      </c>
      <c r="G62" s="8">
        <v>50</v>
      </c>
      <c r="H62" s="8">
        <v>50</v>
      </c>
      <c r="J62" s="9">
        <f t="shared" si="62"/>
        <v>93.040239599999992</v>
      </c>
      <c r="K62" s="9">
        <f t="shared" si="63"/>
        <v>89.163562949999999</v>
      </c>
      <c r="L62" s="9">
        <f t="shared" si="57"/>
        <v>90.680158800000001</v>
      </c>
      <c r="M62" s="9">
        <f t="shared" si="58"/>
        <v>92.231820450000001</v>
      </c>
      <c r="N62" s="9">
        <f t="shared" si="59"/>
        <v>89.731095300000007</v>
      </c>
      <c r="O62" s="9">
        <f t="shared" si="60"/>
        <v>91.25721990000001</v>
      </c>
      <c r="Q62" s="14">
        <v>0.4</v>
      </c>
      <c r="S62" s="10">
        <f>+$H$62*365*24*$Q$62</f>
        <v>175200</v>
      </c>
      <c r="U62" s="51">
        <f>+J62*$S$62</f>
        <v>16300649.97792</v>
      </c>
      <c r="V62" s="51">
        <f t="shared" ref="V62:Z62" si="70">+K62*$S$62</f>
        <v>15621456.228839999</v>
      </c>
      <c r="W62" s="51">
        <f t="shared" si="70"/>
        <v>15887163.821760001</v>
      </c>
      <c r="X62" s="51">
        <f t="shared" si="70"/>
        <v>16159014.942840001</v>
      </c>
      <c r="Y62" s="51">
        <f t="shared" si="70"/>
        <v>15720887.896560002</v>
      </c>
      <c r="Z62" s="51">
        <f t="shared" si="70"/>
        <v>15988264.926480001</v>
      </c>
    </row>
    <row r="63" spans="1:26" x14ac:dyDescent="0.25">
      <c r="A63" s="106"/>
      <c r="B63" s="106"/>
      <c r="C63" s="15" t="s">
        <v>120</v>
      </c>
      <c r="D63" s="8" t="s">
        <v>44</v>
      </c>
      <c r="E63" s="8"/>
      <c r="F63" s="8">
        <v>76.23</v>
      </c>
      <c r="G63" s="8">
        <v>50</v>
      </c>
      <c r="H63" s="8">
        <v>50</v>
      </c>
      <c r="J63" s="9">
        <f t="shared" si="62"/>
        <v>93.040239599999992</v>
      </c>
      <c r="K63" s="9">
        <f t="shared" si="63"/>
        <v>89.163562949999999</v>
      </c>
      <c r="L63" s="9">
        <f t="shared" si="57"/>
        <v>90.680158800000001</v>
      </c>
      <c r="M63" s="9">
        <f t="shared" si="58"/>
        <v>92.231820450000001</v>
      </c>
      <c r="N63" s="9">
        <f t="shared" si="59"/>
        <v>89.731095300000007</v>
      </c>
      <c r="O63" s="9">
        <f t="shared" si="60"/>
        <v>91.25721990000001</v>
      </c>
      <c r="Q63" s="14">
        <v>0.4</v>
      </c>
      <c r="S63" s="10">
        <f>+$H$63*365*24*$Q$63</f>
        <v>175200</v>
      </c>
      <c r="U63" s="51">
        <f>+J63*$S$63</f>
        <v>16300649.97792</v>
      </c>
      <c r="V63" s="51">
        <f t="shared" ref="V63:Z63" si="71">+K63*$S$63</f>
        <v>15621456.228839999</v>
      </c>
      <c r="W63" s="51">
        <f t="shared" si="71"/>
        <v>15887163.821760001</v>
      </c>
      <c r="X63" s="51">
        <f t="shared" si="71"/>
        <v>16159014.942840001</v>
      </c>
      <c r="Y63" s="51">
        <f t="shared" si="71"/>
        <v>15720887.896560002</v>
      </c>
      <c r="Z63" s="51">
        <f t="shared" si="71"/>
        <v>15988264.926480001</v>
      </c>
    </row>
    <row r="64" spans="1:26" x14ac:dyDescent="0.25">
      <c r="A64" s="106"/>
      <c r="B64" s="106"/>
      <c r="C64" s="15" t="s">
        <v>121</v>
      </c>
      <c r="D64" s="8" t="s">
        <v>44</v>
      </c>
      <c r="E64" s="8"/>
      <c r="F64" s="8">
        <v>76.23</v>
      </c>
      <c r="G64" s="8">
        <v>50</v>
      </c>
      <c r="H64" s="8">
        <v>50</v>
      </c>
      <c r="J64" s="9">
        <f t="shared" si="62"/>
        <v>93.040239599999992</v>
      </c>
      <c r="K64" s="9">
        <f t="shared" si="63"/>
        <v>89.163562949999999</v>
      </c>
      <c r="L64" s="9">
        <f t="shared" si="57"/>
        <v>90.680158800000001</v>
      </c>
      <c r="M64" s="9">
        <f t="shared" si="58"/>
        <v>92.231820450000001</v>
      </c>
      <c r="N64" s="9">
        <f t="shared" si="59"/>
        <v>89.731095300000007</v>
      </c>
      <c r="O64" s="9">
        <f t="shared" si="60"/>
        <v>91.25721990000001</v>
      </c>
      <c r="Q64" s="14">
        <v>0.4</v>
      </c>
      <c r="S64" s="10">
        <f>+$H$64*365*24*$Q$64</f>
        <v>175200</v>
      </c>
      <c r="U64" s="51">
        <f>+J64*$S$64</f>
        <v>16300649.97792</v>
      </c>
      <c r="V64" s="51">
        <f t="shared" ref="V64:Z64" si="72">+K64*$S$64</f>
        <v>15621456.228839999</v>
      </c>
      <c r="W64" s="51">
        <f t="shared" si="72"/>
        <v>15887163.821760001</v>
      </c>
      <c r="X64" s="51">
        <f t="shared" si="72"/>
        <v>16159014.942840001</v>
      </c>
      <c r="Y64" s="51">
        <f t="shared" si="72"/>
        <v>15720887.896560002</v>
      </c>
      <c r="Z64" s="51">
        <f t="shared" si="72"/>
        <v>15988264.926480001</v>
      </c>
    </row>
    <row r="65" spans="2:26" x14ac:dyDescent="0.25">
      <c r="H65" s="13">
        <f>SUM(H55:H64)</f>
        <v>500</v>
      </c>
    </row>
    <row r="73" spans="2:26" ht="15.75" thickBot="1" x14ac:dyDescent="0.3"/>
    <row r="74" spans="2:26" ht="30.75" thickBot="1" x14ac:dyDescent="0.3">
      <c r="B74" s="16" t="s">
        <v>122</v>
      </c>
      <c r="C74" s="17" t="s">
        <v>123</v>
      </c>
      <c r="D74" s="17" t="s">
        <v>122</v>
      </c>
      <c r="E74" s="17" t="s">
        <v>123</v>
      </c>
      <c r="G74" s="108" t="s">
        <v>124</v>
      </c>
      <c r="H74" s="108"/>
      <c r="I74" s="18"/>
      <c r="J74" s="19">
        <f>+U74</f>
        <v>75.567328084981327</v>
      </c>
      <c r="K74" s="19">
        <f t="shared" ref="K74:N74" si="73">+V74</f>
        <v>72.418689414773738</v>
      </c>
      <c r="L74" s="19">
        <f t="shared" si="73"/>
        <v>73.650469305517674</v>
      </c>
      <c r="M74" s="19">
        <f t="shared" si="73"/>
        <v>74.910729656163042</v>
      </c>
      <c r="N74" s="19">
        <f t="shared" si="73"/>
        <v>72.879639466876668</v>
      </c>
      <c r="O74" s="19">
        <f>+Z74</f>
        <v>74.119158613028645</v>
      </c>
      <c r="S74" s="20">
        <f>+SUM(S4,S7:S18,S21:S24,S29:S38,S40:S50,S55:S64)</f>
        <v>7993762.8000000007</v>
      </c>
      <c r="T74">
        <f t="shared" ref="T74" si="74">+SUM(T4,T7:T18,T21:T24,T29:T38,T40:T50)</f>
        <v>0</v>
      </c>
      <c r="U74" s="21">
        <f>+SUM(U4,U7:U18,U21:U24,U29:U38,U40:U50,U55:U64)/$S$74</f>
        <v>75.567328084981327</v>
      </c>
      <c r="V74" s="21">
        <f t="shared" ref="V74:Z74" si="75">+SUM(V4,V7:V18,V21:V24,V29:V38,V40:V50,V55:V64)/$S$74</f>
        <v>72.418689414773738</v>
      </c>
      <c r="W74" s="21">
        <f t="shared" si="75"/>
        <v>73.650469305517674</v>
      </c>
      <c r="X74" s="21">
        <f>+SUM(X4,X7:X18,X21:X24,X29:X38,X40:X50,X55:X64)/$S$74</f>
        <v>74.910729656163042</v>
      </c>
      <c r="Y74" s="21">
        <f>+SUM(Y4,Y7:Y18,Y21:Y24,Y29:Y38,Y40:Y50,Y55:Y64)/$S$74</f>
        <v>72.879639466876668</v>
      </c>
      <c r="Z74" s="21">
        <f t="shared" si="75"/>
        <v>74.119158613028645</v>
      </c>
    </row>
    <row r="75" spans="2:26" ht="15.75" customHeight="1" thickBot="1" x14ac:dyDescent="0.3">
      <c r="B75" s="22">
        <v>2017</v>
      </c>
      <c r="C75" s="23">
        <v>1.2</v>
      </c>
      <c r="D75" s="23">
        <v>2028</v>
      </c>
      <c r="E75" s="23">
        <v>1</v>
      </c>
      <c r="G75" s="54"/>
      <c r="H75" s="54"/>
      <c r="I75" s="54"/>
      <c r="J75" s="55"/>
      <c r="K75" s="55"/>
      <c r="L75" s="55"/>
      <c r="M75" s="55"/>
      <c r="N75" s="54"/>
    </row>
    <row r="76" spans="2:26" ht="15.75" thickBot="1" x14ac:dyDescent="0.3">
      <c r="B76" s="22">
        <v>2018</v>
      </c>
      <c r="C76" s="23">
        <v>1.1499999999999999</v>
      </c>
      <c r="D76" s="23">
        <v>2029</v>
      </c>
      <c r="E76" s="23">
        <v>1</v>
      </c>
      <c r="G76" s="24" t="s">
        <v>141</v>
      </c>
      <c r="H76" s="25"/>
      <c r="J76" s="4">
        <v>2017</v>
      </c>
      <c r="K76" s="4">
        <v>2018</v>
      </c>
      <c r="L76" s="4">
        <v>2019</v>
      </c>
      <c r="M76" s="4">
        <v>2020</v>
      </c>
      <c r="N76" s="4">
        <v>2021</v>
      </c>
      <c r="O76" s="4">
        <v>2022</v>
      </c>
    </row>
    <row r="77" spans="2:26" ht="15.75" thickBot="1" x14ac:dyDescent="0.3">
      <c r="B77" s="22">
        <v>2019</v>
      </c>
      <c r="C77" s="23">
        <v>1.1499999999999999</v>
      </c>
      <c r="D77" s="23">
        <v>2030</v>
      </c>
      <c r="E77" s="23">
        <v>1</v>
      </c>
      <c r="G77" s="24" t="s">
        <v>149</v>
      </c>
      <c r="H77" s="53">
        <f>5</f>
        <v>5</v>
      </c>
      <c r="J77" s="4"/>
      <c r="K77" s="4"/>
      <c r="L77" s="4"/>
      <c r="M77" s="4"/>
      <c r="N77" s="4"/>
      <c r="O77" s="4"/>
      <c r="P77" s="27"/>
      <c r="Q77" s="27"/>
    </row>
    <row r="78" spans="2:26" ht="15.75" thickBot="1" x14ac:dyDescent="0.3">
      <c r="B78" s="22">
        <v>2020</v>
      </c>
      <c r="C78" s="23">
        <v>1.1499999999999999</v>
      </c>
      <c r="D78" s="23">
        <v>2031</v>
      </c>
      <c r="E78" s="23">
        <v>1</v>
      </c>
      <c r="G78" s="26" t="s">
        <v>125</v>
      </c>
      <c r="H78" s="26"/>
      <c r="J78" s="10">
        <v>8</v>
      </c>
      <c r="K78" s="10">
        <v>8</v>
      </c>
      <c r="L78" s="10">
        <v>8</v>
      </c>
      <c r="M78" s="10">
        <v>8</v>
      </c>
      <c r="N78" s="10">
        <v>8</v>
      </c>
      <c r="O78" s="10">
        <v>8</v>
      </c>
      <c r="P78" s="27"/>
      <c r="Q78" s="27"/>
    </row>
    <row r="79" spans="2:26" ht="15.75" thickBot="1" x14ac:dyDescent="0.3">
      <c r="B79" s="22">
        <v>2021</v>
      </c>
      <c r="C79" s="23">
        <v>1.1000000000000001</v>
      </c>
      <c r="D79" s="23">
        <v>2032</v>
      </c>
      <c r="E79" s="23">
        <v>1</v>
      </c>
      <c r="G79" s="26" t="s">
        <v>126</v>
      </c>
      <c r="H79" s="26"/>
      <c r="J79" s="30">
        <f>10/16</f>
        <v>0.625</v>
      </c>
      <c r="K79" s="30">
        <f t="shared" ref="K79:O79" si="76">10/16</f>
        <v>0.625</v>
      </c>
      <c r="L79" s="30">
        <f t="shared" si="76"/>
        <v>0.625</v>
      </c>
      <c r="M79" s="30">
        <f t="shared" si="76"/>
        <v>0.625</v>
      </c>
      <c r="N79" s="30">
        <f t="shared" si="76"/>
        <v>0.625</v>
      </c>
      <c r="O79" s="30">
        <f t="shared" si="76"/>
        <v>0.625</v>
      </c>
      <c r="P79" s="27"/>
      <c r="Q79" s="27"/>
    </row>
    <row r="80" spans="2:26" ht="15.75" thickBot="1" x14ac:dyDescent="0.3">
      <c r="B80" s="22">
        <v>2022</v>
      </c>
      <c r="C80" s="23">
        <v>1.1000000000000001</v>
      </c>
      <c r="D80" s="23">
        <v>2033</v>
      </c>
      <c r="E80" s="23">
        <v>0.9</v>
      </c>
      <c r="G80" s="26" t="s">
        <v>127</v>
      </c>
      <c r="H80" s="26"/>
      <c r="J80" s="28">
        <v>1</v>
      </c>
      <c r="K80" s="28">
        <v>1</v>
      </c>
      <c r="L80" s="28">
        <v>1</v>
      </c>
      <c r="M80" s="28">
        <v>1</v>
      </c>
      <c r="N80" s="28">
        <v>1</v>
      </c>
      <c r="O80" s="28">
        <v>1</v>
      </c>
      <c r="P80" s="27"/>
      <c r="Q80" s="27"/>
    </row>
    <row r="81" spans="2:17" ht="15.75" thickBot="1" x14ac:dyDescent="0.3">
      <c r="B81" s="22">
        <v>2023</v>
      </c>
      <c r="C81" s="23">
        <v>1.1000000000000001</v>
      </c>
      <c r="D81" s="23">
        <v>2034</v>
      </c>
      <c r="E81" s="23">
        <v>0.9</v>
      </c>
      <c r="G81" s="90" t="s">
        <v>128</v>
      </c>
      <c r="H81" s="91"/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31"/>
      <c r="Q81" s="31"/>
    </row>
    <row r="82" spans="2:17" ht="15.75" thickBot="1" x14ac:dyDescent="0.3">
      <c r="B82" s="22">
        <v>2024</v>
      </c>
      <c r="C82" s="23">
        <v>1.1000000000000001</v>
      </c>
      <c r="D82" s="23">
        <v>2035</v>
      </c>
      <c r="E82" s="23">
        <v>0.9</v>
      </c>
      <c r="G82" s="29" t="s">
        <v>129</v>
      </c>
      <c r="H82" s="29"/>
      <c r="J82" s="30">
        <f>+J94</f>
        <v>1.1235294117647059</v>
      </c>
      <c r="K82" s="30">
        <f t="shared" ref="K82:O82" si="77">+K94</f>
        <v>1.1235294117647059</v>
      </c>
      <c r="L82" s="30">
        <f t="shared" si="77"/>
        <v>1.1235294117647059</v>
      </c>
      <c r="M82" s="30">
        <f t="shared" si="77"/>
        <v>1.1235294117647059</v>
      </c>
      <c r="N82" s="30">
        <f t="shared" si="77"/>
        <v>1.1235294117647059</v>
      </c>
      <c r="O82" s="30">
        <f t="shared" si="77"/>
        <v>1.1235294117647059</v>
      </c>
      <c r="P82" s="27"/>
      <c r="Q82" s="27"/>
    </row>
    <row r="83" spans="2:17" ht="15.75" thickBot="1" x14ac:dyDescent="0.3">
      <c r="B83" s="22">
        <v>2025</v>
      </c>
      <c r="C83" s="23">
        <v>1.05</v>
      </c>
      <c r="D83" s="23">
        <v>2036</v>
      </c>
      <c r="E83" s="23">
        <v>0.8</v>
      </c>
      <c r="G83" s="90" t="s">
        <v>136</v>
      </c>
      <c r="H83" s="91"/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7"/>
      <c r="Q83" s="27"/>
    </row>
    <row r="84" spans="2:17" ht="15.75" thickBot="1" x14ac:dyDescent="0.3">
      <c r="B84" s="22">
        <v>2026</v>
      </c>
      <c r="C84" s="23">
        <v>1.05</v>
      </c>
      <c r="D84" s="23">
        <v>2037</v>
      </c>
      <c r="E84" s="23">
        <v>0.8</v>
      </c>
      <c r="G84" s="90" t="s">
        <v>145</v>
      </c>
      <c r="H84" s="91"/>
      <c r="J84" s="28">
        <v>0</v>
      </c>
      <c r="K84" s="28">
        <v>0</v>
      </c>
      <c r="L84" s="28">
        <f>6*(20%+80%*($H$77/20))</f>
        <v>2.4000000000000004</v>
      </c>
      <c r="M84" s="48">
        <f>6*(20%+80%*($H$77/20))</f>
        <v>2.4000000000000004</v>
      </c>
      <c r="N84" s="48">
        <f>10*(20%+80%*($H$77/20))</f>
        <v>4</v>
      </c>
      <c r="O84" s="48">
        <f>10*(20%+80%*($H$77/20))</f>
        <v>4</v>
      </c>
      <c r="P84" s="33"/>
      <c r="Q84" s="33"/>
    </row>
    <row r="85" spans="2:17" ht="15.75" thickBot="1" x14ac:dyDescent="0.3">
      <c r="B85" s="22">
        <v>2027</v>
      </c>
      <c r="C85" s="23">
        <v>1.05</v>
      </c>
      <c r="D85" s="34" t="s">
        <v>130</v>
      </c>
      <c r="E85" s="23">
        <v>0.8</v>
      </c>
      <c r="G85" s="90" t="s">
        <v>146</v>
      </c>
      <c r="H85" s="91"/>
      <c r="J85" s="28">
        <v>0</v>
      </c>
      <c r="K85" s="28">
        <v>0</v>
      </c>
      <c r="L85" s="32">
        <v>0.05</v>
      </c>
      <c r="M85" s="32">
        <v>0.05</v>
      </c>
      <c r="N85" s="32">
        <v>0.05</v>
      </c>
      <c r="O85" s="32">
        <v>0</v>
      </c>
    </row>
    <row r="86" spans="2:17" ht="15.75" thickBot="1" x14ac:dyDescent="0.3">
      <c r="G86" s="107" t="s">
        <v>131</v>
      </c>
      <c r="H86" s="107"/>
      <c r="J86" s="35">
        <f t="shared" ref="J86:O86" si="78">+J74+SUM(J78:J85)</f>
        <v>86.315857496746034</v>
      </c>
      <c r="K86" s="35">
        <f t="shared" si="78"/>
        <v>83.167218826538445</v>
      </c>
      <c r="L86" s="35">
        <f t="shared" si="78"/>
        <v>86.848998717282385</v>
      </c>
      <c r="M86" s="35">
        <f t="shared" si="78"/>
        <v>88.109259067927752</v>
      </c>
      <c r="N86" s="35">
        <f t="shared" si="78"/>
        <v>87.678168878641372</v>
      </c>
      <c r="O86" s="35">
        <f t="shared" si="78"/>
        <v>88.867688024793352</v>
      </c>
    </row>
    <row r="87" spans="2:17" ht="23.25" thickBot="1" x14ac:dyDescent="0.3">
      <c r="B87" s="36" t="s">
        <v>132</v>
      </c>
      <c r="C87" s="37" t="s">
        <v>133</v>
      </c>
      <c r="D87" s="37" t="s">
        <v>132</v>
      </c>
      <c r="E87" s="37" t="s">
        <v>133</v>
      </c>
    </row>
    <row r="88" spans="2:17" ht="15.75" thickBot="1" x14ac:dyDescent="0.3">
      <c r="B88" s="22">
        <v>1</v>
      </c>
      <c r="C88" s="23">
        <v>1.0170999999999999</v>
      </c>
      <c r="D88" s="23">
        <v>11</v>
      </c>
      <c r="E88" s="23">
        <v>1.2047000000000001</v>
      </c>
      <c r="G88" s="24" t="s">
        <v>142</v>
      </c>
      <c r="H88" s="25"/>
      <c r="J88" s="4">
        <v>2017</v>
      </c>
      <c r="K88" s="4">
        <v>2018</v>
      </c>
      <c r="L88" s="4">
        <v>2019</v>
      </c>
      <c r="M88" s="4">
        <v>2020</v>
      </c>
      <c r="N88" s="4">
        <v>2021</v>
      </c>
      <c r="O88" s="4">
        <v>2022</v>
      </c>
    </row>
    <row r="89" spans="2:17" ht="15.75" thickBot="1" x14ac:dyDescent="0.3">
      <c r="B89" s="22">
        <v>2</v>
      </c>
      <c r="C89" s="23">
        <v>1.0344</v>
      </c>
      <c r="D89" s="23">
        <v>12</v>
      </c>
      <c r="E89" s="23">
        <v>1.2253000000000001</v>
      </c>
      <c r="G89" s="94" t="s">
        <v>143</v>
      </c>
      <c r="H89" s="95"/>
      <c r="I89" s="18"/>
      <c r="J89" s="47">
        <f t="shared" ref="J89:O89" si="79">+J74</f>
        <v>75.567328084981327</v>
      </c>
      <c r="K89" s="47">
        <f t="shared" si="79"/>
        <v>72.418689414773738</v>
      </c>
      <c r="L89" s="47">
        <f t="shared" si="79"/>
        <v>73.650469305517674</v>
      </c>
      <c r="M89" s="47">
        <f t="shared" si="79"/>
        <v>74.910729656163042</v>
      </c>
      <c r="N89" s="47">
        <f t="shared" si="79"/>
        <v>72.879639466876668</v>
      </c>
      <c r="O89" s="47">
        <f t="shared" si="79"/>
        <v>74.119158613028645</v>
      </c>
      <c r="P89" s="27"/>
      <c r="Q89" s="27"/>
    </row>
    <row r="90" spans="2:17" ht="15.75" thickBot="1" x14ac:dyDescent="0.3">
      <c r="B90" s="22">
        <v>3</v>
      </c>
      <c r="C90" s="23">
        <v>1.0521</v>
      </c>
      <c r="D90" s="23">
        <v>13</v>
      </c>
      <c r="E90" s="23">
        <v>1.2462</v>
      </c>
      <c r="G90" s="26" t="s">
        <v>125</v>
      </c>
      <c r="H90" s="26"/>
      <c r="J90" s="10">
        <f>+J78</f>
        <v>8</v>
      </c>
      <c r="K90" s="10">
        <f t="shared" ref="K90:O90" si="80">+K78</f>
        <v>8</v>
      </c>
      <c r="L90" s="10">
        <f t="shared" si="80"/>
        <v>8</v>
      </c>
      <c r="M90" s="10">
        <f t="shared" si="80"/>
        <v>8</v>
      </c>
      <c r="N90" s="10">
        <f t="shared" si="80"/>
        <v>8</v>
      </c>
      <c r="O90" s="10">
        <f t="shared" si="80"/>
        <v>8</v>
      </c>
      <c r="P90" s="27"/>
      <c r="Q90" s="27"/>
    </row>
    <row r="91" spans="2:17" ht="15.75" thickBot="1" x14ac:dyDescent="0.3">
      <c r="B91" s="22">
        <v>4</v>
      </c>
      <c r="C91" s="23">
        <v>1.0701000000000001</v>
      </c>
      <c r="D91" s="23">
        <v>14</v>
      </c>
      <c r="E91" s="23">
        <v>1.2675000000000001</v>
      </c>
      <c r="G91" s="39" t="s">
        <v>126</v>
      </c>
      <c r="H91" s="26"/>
      <c r="J91" s="30">
        <f>10/16</f>
        <v>0.625</v>
      </c>
      <c r="K91" s="30">
        <f t="shared" ref="K91:O91" si="81">10/16</f>
        <v>0.625</v>
      </c>
      <c r="L91" s="30">
        <f t="shared" si="81"/>
        <v>0.625</v>
      </c>
      <c r="M91" s="30">
        <f t="shared" si="81"/>
        <v>0.625</v>
      </c>
      <c r="N91" s="30">
        <f t="shared" si="81"/>
        <v>0.625</v>
      </c>
      <c r="O91" s="30">
        <f t="shared" si="81"/>
        <v>0.625</v>
      </c>
      <c r="P91" s="27"/>
      <c r="Q91" s="27"/>
    </row>
    <row r="92" spans="2:17" ht="15.75" thickBot="1" x14ac:dyDescent="0.3">
      <c r="B92" s="22">
        <v>5</v>
      </c>
      <c r="C92" s="23">
        <v>1.0883</v>
      </c>
      <c r="D92" s="23">
        <v>15</v>
      </c>
      <c r="E92" s="23">
        <v>1.2890999999999999</v>
      </c>
      <c r="G92" s="26" t="s">
        <v>127</v>
      </c>
      <c r="H92" s="26"/>
      <c r="J92" s="28">
        <v>1</v>
      </c>
      <c r="K92" s="28">
        <v>1</v>
      </c>
      <c r="L92" s="28">
        <v>1</v>
      </c>
      <c r="M92" s="28">
        <v>1</v>
      </c>
      <c r="N92" s="28">
        <v>1</v>
      </c>
      <c r="O92" s="28">
        <v>1</v>
      </c>
      <c r="P92" s="27"/>
      <c r="Q92" s="27"/>
    </row>
    <row r="93" spans="2:17" ht="15.75" thickBot="1" x14ac:dyDescent="0.3">
      <c r="B93" s="22">
        <v>6</v>
      </c>
      <c r="C93" s="23">
        <v>1.1069</v>
      </c>
      <c r="D93" s="23">
        <v>16</v>
      </c>
      <c r="E93" s="23">
        <v>1.3110999999999999</v>
      </c>
      <c r="G93" s="90" t="s">
        <v>128</v>
      </c>
      <c r="H93" s="91"/>
      <c r="J93" s="28">
        <f t="shared" ref="J93:O93" si="82">+J106</f>
        <v>0</v>
      </c>
      <c r="K93" s="28">
        <f t="shared" si="82"/>
        <v>0</v>
      </c>
      <c r="L93" s="28">
        <f t="shared" si="82"/>
        <v>0</v>
      </c>
      <c r="M93" s="28">
        <f t="shared" si="82"/>
        <v>0</v>
      </c>
      <c r="N93" s="28">
        <f t="shared" si="82"/>
        <v>0</v>
      </c>
      <c r="O93" s="28">
        <f t="shared" si="82"/>
        <v>0</v>
      </c>
      <c r="P93" s="31"/>
      <c r="Q93" s="31"/>
    </row>
    <row r="94" spans="2:17" ht="15.75" thickBot="1" x14ac:dyDescent="0.3">
      <c r="B94" s="22">
        <v>7</v>
      </c>
      <c r="C94" s="23">
        <v>1.1257999999999999</v>
      </c>
      <c r="D94" s="23">
        <v>17</v>
      </c>
      <c r="E94" s="23">
        <v>1.3334999999999999</v>
      </c>
      <c r="G94" s="29" t="s">
        <v>129</v>
      </c>
      <c r="H94" s="29"/>
      <c r="J94" s="30">
        <f>+(15.5+3.6)/17</f>
        <v>1.1235294117647059</v>
      </c>
      <c r="K94" s="30">
        <f>+J94</f>
        <v>1.1235294117647059</v>
      </c>
      <c r="L94" s="30">
        <f t="shared" ref="L94:O94" si="83">+K94</f>
        <v>1.1235294117647059</v>
      </c>
      <c r="M94" s="30">
        <f t="shared" si="83"/>
        <v>1.1235294117647059</v>
      </c>
      <c r="N94" s="30">
        <f t="shared" si="83"/>
        <v>1.1235294117647059</v>
      </c>
      <c r="O94" s="30">
        <f t="shared" si="83"/>
        <v>1.1235294117647059</v>
      </c>
      <c r="P94" s="27"/>
      <c r="Q94" s="27"/>
    </row>
    <row r="95" spans="2:17" ht="15.75" thickBot="1" x14ac:dyDescent="0.3">
      <c r="B95" s="22">
        <v>8</v>
      </c>
      <c r="C95" s="23">
        <v>1.145</v>
      </c>
      <c r="D95" s="23">
        <v>18</v>
      </c>
      <c r="E95" s="23">
        <v>1.3563000000000001</v>
      </c>
      <c r="G95" s="40" t="s">
        <v>136</v>
      </c>
      <c r="H95" s="41"/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0</v>
      </c>
      <c r="P95" s="27"/>
      <c r="Q95" s="27"/>
    </row>
    <row r="96" spans="2:17" ht="15.75" thickBot="1" x14ac:dyDescent="0.3">
      <c r="B96" s="22">
        <v>9</v>
      </c>
      <c r="C96" s="23">
        <v>1.1646000000000001</v>
      </c>
      <c r="D96" s="23">
        <v>19</v>
      </c>
      <c r="E96" s="23">
        <v>1.3794</v>
      </c>
      <c r="G96" s="40" t="s">
        <v>145</v>
      </c>
      <c r="H96" s="41"/>
      <c r="J96" s="28">
        <v>0</v>
      </c>
      <c r="K96" s="28">
        <v>0</v>
      </c>
      <c r="L96" s="28">
        <v>6</v>
      </c>
      <c r="M96" s="28">
        <v>6</v>
      </c>
      <c r="N96" s="28">
        <v>10</v>
      </c>
      <c r="O96" s="28">
        <v>10</v>
      </c>
      <c r="P96" s="27"/>
      <c r="Q96" s="33"/>
    </row>
    <row r="97" spans="2:17" ht="15.75" thickBot="1" x14ac:dyDescent="0.3">
      <c r="B97" s="22">
        <v>10</v>
      </c>
      <c r="C97" s="23">
        <v>1.1845000000000001</v>
      </c>
      <c r="D97" s="23">
        <v>20</v>
      </c>
      <c r="E97" s="23">
        <v>1.403</v>
      </c>
      <c r="G97" s="40" t="s">
        <v>138</v>
      </c>
      <c r="H97" s="41"/>
      <c r="J97" s="28">
        <v>0</v>
      </c>
      <c r="K97" s="28">
        <v>0</v>
      </c>
      <c r="L97" s="32">
        <v>0.05</v>
      </c>
      <c r="M97" s="32">
        <v>0.05</v>
      </c>
      <c r="N97" s="32">
        <v>0.05</v>
      </c>
      <c r="O97" s="32">
        <v>0</v>
      </c>
      <c r="P97" s="46"/>
      <c r="Q97" s="27"/>
    </row>
    <row r="98" spans="2:17" x14ac:dyDescent="0.25">
      <c r="G98" s="96" t="s">
        <v>131</v>
      </c>
      <c r="H98" s="97"/>
      <c r="J98" s="35">
        <f>SUM(J89:J97)</f>
        <v>86.315857496746034</v>
      </c>
      <c r="K98" s="35">
        <f t="shared" ref="K98:O98" si="84">SUM(K89:K97)</f>
        <v>83.167218826538445</v>
      </c>
      <c r="L98" s="35">
        <f t="shared" si="84"/>
        <v>90.448998717282379</v>
      </c>
      <c r="M98" s="35">
        <f t="shared" si="84"/>
        <v>91.709259067927746</v>
      </c>
      <c r="N98" s="35">
        <f t="shared" si="84"/>
        <v>93.678168878641372</v>
      </c>
      <c r="O98" s="35">
        <f t="shared" si="84"/>
        <v>94.867688024793352</v>
      </c>
    </row>
    <row r="99" spans="2:17" x14ac:dyDescent="0.25">
      <c r="G99" s="58"/>
      <c r="H99" s="58"/>
      <c r="I99" s="54"/>
      <c r="J99" s="59"/>
      <c r="K99" s="59"/>
      <c r="L99" s="59"/>
      <c r="M99" s="59"/>
      <c r="N99" s="59"/>
      <c r="O99" s="59"/>
    </row>
    <row r="100" spans="2:17" x14ac:dyDescent="0.25">
      <c r="G100" s="38" t="s">
        <v>150</v>
      </c>
      <c r="H100" s="38"/>
      <c r="I100" s="38"/>
      <c r="J100" s="38"/>
      <c r="K100" s="38"/>
    </row>
    <row r="101" spans="2:17" x14ac:dyDescent="0.25">
      <c r="H101" s="60"/>
      <c r="J101" s="4">
        <v>2017</v>
      </c>
      <c r="K101" s="4">
        <v>2018</v>
      </c>
      <c r="L101" s="4">
        <v>2019</v>
      </c>
      <c r="M101" s="4">
        <v>2020</v>
      </c>
      <c r="N101" s="4">
        <v>2021</v>
      </c>
      <c r="O101" s="4">
        <v>2022</v>
      </c>
      <c r="Q101" s="27"/>
    </row>
    <row r="102" spans="2:17" x14ac:dyDescent="0.25">
      <c r="G102" s="103" t="s">
        <v>134</v>
      </c>
      <c r="H102" s="104"/>
      <c r="I102" s="18"/>
      <c r="J102" s="56">
        <f>+'Resumen EERR V1'!D28</f>
        <v>65</v>
      </c>
      <c r="K102" s="56">
        <f>+'Resumen EERR V1'!E28</f>
        <v>65</v>
      </c>
      <c r="L102" s="56">
        <f>+'Resumen EERR V1'!F28</f>
        <v>65</v>
      </c>
      <c r="M102" s="56">
        <f>+'Resumen EERR V1'!G28</f>
        <v>65</v>
      </c>
      <c r="N102" s="56">
        <f>+'Resumen EERR V1'!H28</f>
        <v>65</v>
      </c>
      <c r="O102" s="56">
        <f>+'Resumen EERR V1'!I28</f>
        <v>65</v>
      </c>
      <c r="P102" s="57" t="s">
        <v>135</v>
      </c>
      <c r="Q102" s="27"/>
    </row>
    <row r="103" spans="2:17" x14ac:dyDescent="0.25">
      <c r="G103" s="26" t="s">
        <v>125</v>
      </c>
      <c r="H103" s="26"/>
      <c r="J103" s="28">
        <f>(130/16)*0</f>
        <v>0</v>
      </c>
      <c r="K103" s="28">
        <f>(140/16)*0</f>
        <v>0</v>
      </c>
      <c r="L103" s="28">
        <f>(150/16)*0</f>
        <v>0</v>
      </c>
      <c r="M103" s="28">
        <f>(180/16)*0</f>
        <v>0</v>
      </c>
      <c r="N103" s="48">
        <f t="shared" ref="N103:O103" si="85">(180/16)*0</f>
        <v>0</v>
      </c>
      <c r="O103" s="48">
        <f t="shared" si="85"/>
        <v>0</v>
      </c>
      <c r="P103" s="27"/>
      <c r="Q103" s="27"/>
    </row>
    <row r="104" spans="2:17" x14ac:dyDescent="0.25">
      <c r="G104" s="39" t="s">
        <v>126</v>
      </c>
      <c r="H104" s="26"/>
      <c r="J104" s="30">
        <f>10/16</f>
        <v>0.625</v>
      </c>
      <c r="K104" s="30">
        <f t="shared" ref="K104:O104" si="86">10/16</f>
        <v>0.625</v>
      </c>
      <c r="L104" s="30">
        <f t="shared" si="86"/>
        <v>0.625</v>
      </c>
      <c r="M104" s="30">
        <f t="shared" si="86"/>
        <v>0.625</v>
      </c>
      <c r="N104" s="30">
        <f t="shared" si="86"/>
        <v>0.625</v>
      </c>
      <c r="O104" s="30">
        <f t="shared" si="86"/>
        <v>0.625</v>
      </c>
      <c r="P104" s="27"/>
      <c r="Q104" s="27"/>
    </row>
    <row r="105" spans="2:17" x14ac:dyDescent="0.25">
      <c r="G105" s="26" t="s">
        <v>127</v>
      </c>
      <c r="H105" s="26"/>
      <c r="J105" s="28">
        <v>1</v>
      </c>
      <c r="K105" s="28">
        <v>1</v>
      </c>
      <c r="L105" s="28">
        <v>1</v>
      </c>
      <c r="M105" s="28">
        <v>1</v>
      </c>
      <c r="N105" s="28">
        <v>1</v>
      </c>
      <c r="O105" s="28">
        <v>1</v>
      </c>
      <c r="P105" s="27"/>
      <c r="Q105" s="31"/>
    </row>
    <row r="106" spans="2:17" x14ac:dyDescent="0.25">
      <c r="G106" s="90" t="s">
        <v>128</v>
      </c>
      <c r="H106" s="91"/>
      <c r="J106" s="28">
        <f t="shared" ref="J106:O106" si="87">+J81</f>
        <v>0</v>
      </c>
      <c r="K106" s="28">
        <f t="shared" si="87"/>
        <v>0</v>
      </c>
      <c r="L106" s="28">
        <f t="shared" si="87"/>
        <v>0</v>
      </c>
      <c r="M106" s="28">
        <f t="shared" si="87"/>
        <v>0</v>
      </c>
      <c r="N106" s="28">
        <f t="shared" si="87"/>
        <v>0</v>
      </c>
      <c r="O106" s="28">
        <f t="shared" si="87"/>
        <v>0</v>
      </c>
      <c r="P106" s="31"/>
      <c r="Q106" s="27"/>
    </row>
    <row r="107" spans="2:17" x14ac:dyDescent="0.25">
      <c r="G107" s="29" t="s">
        <v>129</v>
      </c>
      <c r="H107" s="29"/>
      <c r="J107" s="30">
        <f t="shared" ref="J107:O107" si="88">+J94</f>
        <v>1.1235294117647059</v>
      </c>
      <c r="K107" s="30">
        <f t="shared" si="88"/>
        <v>1.1235294117647059</v>
      </c>
      <c r="L107" s="30">
        <f t="shared" si="88"/>
        <v>1.1235294117647059</v>
      </c>
      <c r="M107" s="30">
        <f t="shared" si="88"/>
        <v>1.1235294117647059</v>
      </c>
      <c r="N107" s="30">
        <f t="shared" si="88"/>
        <v>1.1235294117647059</v>
      </c>
      <c r="O107" s="30">
        <f t="shared" si="88"/>
        <v>1.1235294117647059</v>
      </c>
      <c r="P107" s="27"/>
      <c r="Q107" s="27"/>
    </row>
    <row r="108" spans="2:17" x14ac:dyDescent="0.25">
      <c r="G108" s="40" t="s">
        <v>136</v>
      </c>
      <c r="H108" s="41"/>
      <c r="J108" s="28">
        <v>0</v>
      </c>
      <c r="K108" s="28">
        <v>0</v>
      </c>
      <c r="L108" s="28">
        <v>0</v>
      </c>
      <c r="M108" s="28">
        <v>0</v>
      </c>
      <c r="N108" s="28">
        <v>0</v>
      </c>
      <c r="O108" s="28">
        <v>0</v>
      </c>
      <c r="P108" s="27"/>
      <c r="Q108" s="33"/>
    </row>
    <row r="109" spans="2:17" x14ac:dyDescent="0.25">
      <c r="G109" s="40" t="s">
        <v>137</v>
      </c>
      <c r="H109" s="41"/>
      <c r="J109" s="28">
        <v>0</v>
      </c>
      <c r="K109" s="28">
        <v>0</v>
      </c>
      <c r="L109" s="28">
        <v>0</v>
      </c>
      <c r="M109" s="28">
        <v>0</v>
      </c>
      <c r="N109" s="28">
        <v>0</v>
      </c>
      <c r="O109" s="28">
        <v>0</v>
      </c>
      <c r="P109" s="33"/>
      <c r="Q109" s="43"/>
    </row>
    <row r="110" spans="2:17" x14ac:dyDescent="0.25">
      <c r="G110" s="40" t="s">
        <v>138</v>
      </c>
      <c r="H110" s="41"/>
      <c r="J110" s="28">
        <v>0</v>
      </c>
      <c r="K110" s="28">
        <v>0</v>
      </c>
      <c r="L110" s="32">
        <v>0</v>
      </c>
      <c r="M110" s="32">
        <v>0</v>
      </c>
      <c r="N110" s="32">
        <v>0</v>
      </c>
      <c r="O110" s="32">
        <v>0</v>
      </c>
      <c r="P110" s="43"/>
    </row>
    <row r="111" spans="2:17" x14ac:dyDescent="0.25">
      <c r="G111" s="92" t="s">
        <v>131</v>
      </c>
      <c r="H111" s="93"/>
      <c r="J111" s="42">
        <f>SUM(J102:J110)</f>
        <v>67.748529411764707</v>
      </c>
      <c r="K111" s="42">
        <f t="shared" ref="K111:O111" si="89">SUM(K102:K110)</f>
        <v>67.748529411764707</v>
      </c>
      <c r="L111" s="42">
        <f t="shared" si="89"/>
        <v>67.748529411764707</v>
      </c>
      <c r="M111" s="42">
        <f t="shared" si="89"/>
        <v>67.748529411764707</v>
      </c>
      <c r="N111" s="42">
        <f t="shared" si="89"/>
        <v>67.748529411764707</v>
      </c>
      <c r="O111" s="42">
        <f t="shared" si="89"/>
        <v>67.748529411764707</v>
      </c>
    </row>
    <row r="113" spans="7:7" x14ac:dyDescent="0.25">
      <c r="G113" s="44" t="s">
        <v>139</v>
      </c>
    </row>
    <row r="114" spans="7:7" x14ac:dyDescent="0.25">
      <c r="G114" s="44" t="s">
        <v>140</v>
      </c>
    </row>
    <row r="115" spans="7:7" x14ac:dyDescent="0.25">
      <c r="G115" s="45" t="s">
        <v>144</v>
      </c>
    </row>
  </sheetData>
  <mergeCells count="20">
    <mergeCell ref="U2:Z2"/>
    <mergeCell ref="A2:B2"/>
    <mergeCell ref="G102:H102"/>
    <mergeCell ref="J2:O2"/>
    <mergeCell ref="A27:B27"/>
    <mergeCell ref="A28:B38"/>
    <mergeCell ref="A40:B50"/>
    <mergeCell ref="G86:H86"/>
    <mergeCell ref="A54:B64"/>
    <mergeCell ref="G74:H74"/>
    <mergeCell ref="G81:H81"/>
    <mergeCell ref="G83:H83"/>
    <mergeCell ref="G84:H84"/>
    <mergeCell ref="G85:H85"/>
    <mergeCell ref="A53:B53"/>
    <mergeCell ref="G106:H106"/>
    <mergeCell ref="G111:H111"/>
    <mergeCell ref="G89:H89"/>
    <mergeCell ref="G93:H93"/>
    <mergeCell ref="G98:H9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EERR V1</vt:lpstr>
      <vt:lpstr>cálculos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Ovilio Holzer</dc:creator>
  <cp:lastModifiedBy>Carla</cp:lastModifiedBy>
  <dcterms:created xsi:type="dcterms:W3CDTF">2017-08-24T19:36:17Z</dcterms:created>
  <dcterms:modified xsi:type="dcterms:W3CDTF">2017-08-28T16:55:34Z</dcterms:modified>
</cp:coreProperties>
</file>